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6685" windowHeight="10335"/>
  </bookViews>
  <sheets>
    <sheet name="Мл.школьники" sheetId="1" r:id="rId1"/>
    <sheet name="Вед 7-10" sheetId="7" r:id="rId2"/>
  </sheets>
  <definedNames>
    <definedName name="_xlnm.Print_Area" localSheetId="1">'Вед 7-10'!$A$1:$P$61</definedName>
    <definedName name="_xlnm.Print_Area" localSheetId="0">Мл.школьники!$A$1:$O$952</definedName>
  </definedNames>
  <calcPr calcId="152511"/>
</workbook>
</file>

<file path=xl/calcChain.xml><?xml version="1.0" encoding="utf-8"?>
<calcChain xmlns="http://schemas.openxmlformats.org/spreadsheetml/2006/main">
  <c r="F20" i="7" l="1"/>
  <c r="M61" i="7" l="1"/>
  <c r="N61" i="7" s="1"/>
  <c r="O61" i="7" s="1"/>
  <c r="M60" i="7"/>
  <c r="L61" i="7"/>
  <c r="L60" i="7"/>
  <c r="K61" i="7"/>
  <c r="K60" i="7"/>
  <c r="J61" i="7"/>
  <c r="I61" i="7"/>
  <c r="H61" i="7"/>
  <c r="H60" i="7"/>
  <c r="G61" i="7"/>
  <c r="G60" i="7"/>
  <c r="F60" i="7"/>
  <c r="E61" i="7"/>
  <c r="E60" i="7"/>
  <c r="D61" i="7"/>
  <c r="D60" i="7"/>
  <c r="N53" i="7"/>
  <c r="O53" i="7" s="1"/>
  <c r="N51" i="7"/>
  <c r="O51" i="7" s="1"/>
  <c r="L50" i="7"/>
  <c r="K50" i="7"/>
  <c r="J51" i="7"/>
  <c r="J50" i="7"/>
  <c r="I51" i="7"/>
  <c r="H51" i="7"/>
  <c r="H50" i="7"/>
  <c r="G50" i="7"/>
  <c r="F50" i="7"/>
  <c r="E50" i="7"/>
  <c r="D50" i="7"/>
  <c r="I48" i="7"/>
  <c r="H49" i="7"/>
  <c r="N49" i="7" s="1"/>
  <c r="O49" i="7" s="1"/>
  <c r="G49" i="7"/>
  <c r="F48" i="7"/>
  <c r="L47" i="7"/>
  <c r="N47" i="7" s="1"/>
  <c r="O47" i="7" s="1"/>
  <c r="L46" i="7"/>
  <c r="K47" i="7"/>
  <c r="J47" i="7"/>
  <c r="J46" i="7"/>
  <c r="I47" i="7"/>
  <c r="I46" i="7"/>
  <c r="H47" i="7"/>
  <c r="H46" i="7"/>
  <c r="G47" i="7"/>
  <c r="G46" i="7"/>
  <c r="F47" i="7"/>
  <c r="F46" i="7"/>
  <c r="E46" i="7"/>
  <c r="M45" i="7"/>
  <c r="N45" i="7" s="1"/>
  <c r="O45" i="7" s="1"/>
  <c r="L45" i="7"/>
  <c r="L44" i="7"/>
  <c r="I44" i="7"/>
  <c r="H45" i="7"/>
  <c r="H44" i="7"/>
  <c r="G45" i="7"/>
  <c r="F44" i="7"/>
  <c r="E45" i="7"/>
  <c r="E44" i="7"/>
  <c r="D45" i="7"/>
  <c r="D44" i="7"/>
  <c r="H43" i="7"/>
  <c r="N43" i="7" s="1"/>
  <c r="O43" i="7" s="1"/>
  <c r="N35" i="7"/>
  <c r="O35" i="7" s="1"/>
  <c r="I34" i="7"/>
  <c r="H34" i="7"/>
  <c r="D34" i="7"/>
  <c r="O27" i="7"/>
  <c r="N27" i="7"/>
  <c r="N31" i="7"/>
  <c r="O31" i="7" s="1"/>
  <c r="O29" i="7"/>
  <c r="N29" i="7"/>
  <c r="J21" i="7"/>
  <c r="N21" i="7" s="1"/>
  <c r="O21" i="7" s="1"/>
  <c r="D21" i="7"/>
  <c r="M19" i="7"/>
  <c r="L19" i="7"/>
  <c r="L18" i="7"/>
  <c r="K19" i="7"/>
  <c r="K18" i="7"/>
  <c r="J19" i="7"/>
  <c r="J18" i="7"/>
  <c r="I19" i="7"/>
  <c r="I18" i="7"/>
  <c r="H19" i="7"/>
  <c r="H18" i="7"/>
  <c r="G19" i="7"/>
  <c r="G18" i="7"/>
  <c r="F19" i="7"/>
  <c r="F18" i="7"/>
  <c r="E19" i="7"/>
  <c r="E18" i="7"/>
  <c r="D19" i="7"/>
  <c r="N19" i="7" s="1"/>
  <c r="O19" i="7" s="1"/>
  <c r="D18" i="7"/>
  <c r="N17" i="7"/>
  <c r="O17" i="7" s="1"/>
  <c r="M17" i="7"/>
  <c r="K16" i="7"/>
  <c r="J16" i="7"/>
  <c r="F17" i="7"/>
  <c r="O15" i="7"/>
  <c r="N13" i="7"/>
  <c r="O13" i="7" s="1"/>
  <c r="M12" i="7"/>
  <c r="H12" i="7"/>
  <c r="E13" i="7"/>
  <c r="D12" i="7"/>
  <c r="N9" i="7"/>
  <c r="O9" i="7" s="1"/>
  <c r="L11" i="7"/>
  <c r="L10" i="7"/>
  <c r="I10" i="7"/>
  <c r="G11" i="7"/>
  <c r="N11" i="7" s="1"/>
  <c r="O11" i="7" s="1"/>
  <c r="F10" i="7"/>
  <c r="K9" i="7"/>
  <c r="H9" i="7"/>
  <c r="H8" i="7"/>
  <c r="F8" i="7"/>
  <c r="D8" i="7"/>
  <c r="D153" i="1" l="1"/>
  <c r="N162" i="1" l="1"/>
  <c r="M162" i="1"/>
  <c r="L162" i="1"/>
  <c r="K162" i="1"/>
  <c r="J162" i="1"/>
  <c r="I162" i="1"/>
  <c r="H162" i="1"/>
  <c r="F162" i="1"/>
  <c r="G162" i="1"/>
  <c r="G153" i="1" s="1"/>
  <c r="C167" i="1"/>
  <c r="C163" i="1"/>
  <c r="C165" i="1"/>
  <c r="C166" i="1"/>
  <c r="L572" i="1" l="1"/>
  <c r="J572" i="1"/>
  <c r="H572" i="1"/>
  <c r="D572" i="1"/>
  <c r="C579" i="1"/>
  <c r="C577" i="1"/>
  <c r="C576" i="1"/>
  <c r="C575" i="1"/>
  <c r="C573" i="1"/>
  <c r="C506" i="1"/>
  <c r="C505" i="1"/>
  <c r="E587" i="1"/>
  <c r="F587" i="1"/>
  <c r="G587" i="1"/>
  <c r="H587" i="1"/>
  <c r="I587" i="1"/>
  <c r="J587" i="1"/>
  <c r="K587" i="1"/>
  <c r="L587" i="1"/>
  <c r="M587" i="1"/>
  <c r="N587" i="1"/>
  <c r="O587" i="1"/>
  <c r="D587" i="1"/>
  <c r="E382" i="1"/>
  <c r="F382" i="1"/>
  <c r="G382" i="1"/>
  <c r="H382" i="1"/>
  <c r="I382" i="1"/>
  <c r="J382" i="1"/>
  <c r="K382" i="1"/>
  <c r="L382" i="1"/>
  <c r="M382" i="1"/>
  <c r="N382" i="1"/>
  <c r="O382" i="1"/>
  <c r="D382" i="1"/>
  <c r="O209" i="1"/>
  <c r="K209" i="1"/>
  <c r="E209" i="1"/>
  <c r="C211" i="1"/>
  <c r="C210" i="1"/>
  <c r="L46" i="1"/>
  <c r="J46" i="1"/>
  <c r="H46" i="1"/>
  <c r="E46" i="1"/>
  <c r="D46" i="1"/>
  <c r="C53" i="1"/>
  <c r="C52" i="1"/>
  <c r="C51" i="1"/>
  <c r="C50" i="1"/>
  <c r="E94" i="1"/>
  <c r="F94" i="1"/>
  <c r="G94" i="1"/>
  <c r="H94" i="1"/>
  <c r="I94" i="1"/>
  <c r="J94" i="1"/>
  <c r="K94" i="1"/>
  <c r="L94" i="1"/>
  <c r="M94" i="1"/>
  <c r="N94" i="1"/>
  <c r="O94" i="1"/>
  <c r="N916" i="1"/>
  <c r="M916" i="1"/>
  <c r="K916" i="1"/>
  <c r="J916" i="1"/>
  <c r="I916" i="1"/>
  <c r="H916" i="1"/>
  <c r="G916" i="1"/>
  <c r="F916" i="1"/>
  <c r="E916" i="1"/>
  <c r="E904" i="1" s="1"/>
  <c r="D916" i="1"/>
  <c r="C919" i="1"/>
  <c r="C922" i="1"/>
  <c r="C920" i="1"/>
  <c r="C918" i="1"/>
  <c r="C917" i="1"/>
  <c r="D904" i="1" l="1"/>
  <c r="C921" i="1"/>
  <c r="O909" i="1"/>
  <c r="O904" i="1" s="1"/>
  <c r="N909" i="1"/>
  <c r="N904" i="1" s="1"/>
  <c r="M909" i="1"/>
  <c r="M904" i="1" s="1"/>
  <c r="L909" i="1"/>
  <c r="L904" i="1" s="1"/>
  <c r="K909" i="1"/>
  <c r="K904" i="1" s="1"/>
  <c r="J909" i="1"/>
  <c r="J904" i="1" s="1"/>
  <c r="I909" i="1"/>
  <c r="I904" i="1" s="1"/>
  <c r="H909" i="1"/>
  <c r="H904" i="1" s="1"/>
  <c r="G909" i="1"/>
  <c r="G904" i="1" s="1"/>
  <c r="F909" i="1"/>
  <c r="F904" i="1" s="1"/>
  <c r="C915" i="1"/>
  <c r="C912" i="1"/>
  <c r="C911" i="1"/>
  <c r="C910" i="1"/>
  <c r="M893" i="1"/>
  <c r="K893" i="1"/>
  <c r="H893" i="1"/>
  <c r="F893" i="1"/>
  <c r="E893" i="1"/>
  <c r="D893" i="1"/>
  <c r="N887" i="1"/>
  <c r="O887" i="1"/>
  <c r="M887" i="1"/>
  <c r="L887" i="1"/>
  <c r="K887" i="1"/>
  <c r="J887" i="1"/>
  <c r="I887" i="1"/>
  <c r="H887" i="1"/>
  <c r="G887" i="1"/>
  <c r="F887" i="1"/>
  <c r="E887" i="1"/>
  <c r="D887" i="1"/>
  <c r="C892" i="1"/>
  <c r="C891" i="1"/>
  <c r="C890" i="1"/>
  <c r="C889" i="1"/>
  <c r="C888" i="1"/>
  <c r="D835" i="1"/>
  <c r="C841" i="1"/>
  <c r="C837" i="1"/>
  <c r="C836" i="1"/>
  <c r="C840" i="1"/>
  <c r="M831" i="1"/>
  <c r="J831" i="1"/>
  <c r="I831" i="1"/>
  <c r="E831" i="1"/>
  <c r="C832" i="1"/>
  <c r="O817" i="1"/>
  <c r="N817" i="1"/>
  <c r="M817" i="1"/>
  <c r="L817" i="1"/>
  <c r="K817" i="1"/>
  <c r="I817" i="1"/>
  <c r="H817" i="1"/>
  <c r="G817" i="1"/>
  <c r="F817" i="1"/>
  <c r="E817" i="1"/>
  <c r="D817" i="1"/>
  <c r="C819" i="1"/>
  <c r="C821" i="1"/>
  <c r="C820" i="1"/>
  <c r="C81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10" i="1"/>
  <c r="C809" i="1"/>
  <c r="O796" i="1"/>
  <c r="N796" i="1"/>
  <c r="M796" i="1"/>
  <c r="L796" i="1"/>
  <c r="K796" i="1"/>
  <c r="I796" i="1"/>
  <c r="H796" i="1"/>
  <c r="G796" i="1"/>
  <c r="F796" i="1"/>
  <c r="E796" i="1"/>
  <c r="D796" i="1"/>
  <c r="C802" i="1"/>
  <c r="C801" i="1"/>
  <c r="C800" i="1"/>
  <c r="C799" i="1"/>
  <c r="C798" i="1"/>
  <c r="C797" i="1"/>
  <c r="O790" i="1"/>
  <c r="N790" i="1"/>
  <c r="M790" i="1"/>
  <c r="L790" i="1"/>
  <c r="K790" i="1"/>
  <c r="I790" i="1"/>
  <c r="H790" i="1"/>
  <c r="G790" i="1"/>
  <c r="F790" i="1"/>
  <c r="E790" i="1"/>
  <c r="D790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C789" i="1"/>
  <c r="C788" i="1"/>
  <c r="C787" i="1"/>
  <c r="C786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3" i="1"/>
  <c r="C776" i="1"/>
  <c r="O745" i="1"/>
  <c r="N745" i="1"/>
  <c r="M745" i="1"/>
  <c r="L745" i="1"/>
  <c r="K745" i="1"/>
  <c r="J745" i="1"/>
  <c r="H745" i="1"/>
  <c r="G745" i="1"/>
  <c r="F745" i="1"/>
  <c r="E745" i="1"/>
  <c r="D745" i="1"/>
  <c r="C748" i="1"/>
  <c r="C746" i="1"/>
  <c r="J739" i="1"/>
  <c r="J731" i="1" s="1"/>
  <c r="K739" i="1"/>
  <c r="K731" i="1" s="1"/>
  <c r="L739" i="1"/>
  <c r="M739" i="1"/>
  <c r="M731" i="1" s="1"/>
  <c r="N739" i="1"/>
  <c r="N731" i="1" s="1"/>
  <c r="O739" i="1"/>
  <c r="O731" i="1" s="1"/>
  <c r="H739" i="1"/>
  <c r="G739" i="1"/>
  <c r="F739" i="1"/>
  <c r="F731" i="1" s="1"/>
  <c r="E739" i="1"/>
  <c r="D739" i="1"/>
  <c r="C742" i="1"/>
  <c r="C744" i="1"/>
  <c r="C743" i="1"/>
  <c r="C741" i="1"/>
  <c r="C740" i="1"/>
  <c r="L732" i="1"/>
  <c r="I732" i="1"/>
  <c r="I731" i="1" s="1"/>
  <c r="H732" i="1"/>
  <c r="H731" i="1" s="1"/>
  <c r="D732" i="1"/>
  <c r="O711" i="1"/>
  <c r="N711" i="1"/>
  <c r="L711" i="1"/>
  <c r="J711" i="1"/>
  <c r="I711" i="1"/>
  <c r="H711" i="1"/>
  <c r="G711" i="1"/>
  <c r="F711" i="1"/>
  <c r="E711" i="1"/>
  <c r="D711" i="1"/>
  <c r="C714" i="1"/>
  <c r="C715" i="1"/>
  <c r="C712" i="1"/>
  <c r="C713" i="1"/>
  <c r="C716" i="1"/>
  <c r="L657" i="1"/>
  <c r="K657" i="1"/>
  <c r="I657" i="1"/>
  <c r="G657" i="1"/>
  <c r="F657" i="1"/>
  <c r="D657" i="1"/>
  <c r="C661" i="1"/>
  <c r="C660" i="1"/>
  <c r="C659" i="1"/>
  <c r="O646" i="1"/>
  <c r="N646" i="1"/>
  <c r="K646" i="1"/>
  <c r="I646" i="1"/>
  <c r="H646" i="1"/>
  <c r="G646" i="1"/>
  <c r="F646" i="1"/>
  <c r="E646" i="1"/>
  <c r="D646" i="1"/>
  <c r="C653" i="1"/>
  <c r="O640" i="1"/>
  <c r="N640" i="1"/>
  <c r="M640" i="1"/>
  <c r="L640" i="1"/>
  <c r="K640" i="1"/>
  <c r="I640" i="1"/>
  <c r="G640" i="1"/>
  <c r="H640" i="1"/>
  <c r="F640" i="1"/>
  <c r="D640" i="1"/>
  <c r="C643" i="1"/>
  <c r="C645" i="1"/>
  <c r="C641" i="1"/>
  <c r="C644" i="1"/>
  <c r="C642" i="1"/>
  <c r="C624" i="1"/>
  <c r="C622" i="1"/>
  <c r="C625" i="1"/>
  <c r="N615" i="1"/>
  <c r="M615" i="1"/>
  <c r="L615" i="1"/>
  <c r="K615" i="1"/>
  <c r="I615" i="1"/>
  <c r="H615" i="1"/>
  <c r="G615" i="1"/>
  <c r="F615" i="1"/>
  <c r="E615" i="1"/>
  <c r="D615" i="1"/>
  <c r="C618" i="1"/>
  <c r="C617" i="1"/>
  <c r="C616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6" i="1"/>
  <c r="C605" i="1"/>
  <c r="C603" i="1"/>
  <c r="O568" i="1"/>
  <c r="N568" i="1"/>
  <c r="M568" i="1"/>
  <c r="L568" i="1"/>
  <c r="K568" i="1"/>
  <c r="J568" i="1"/>
  <c r="H568" i="1"/>
  <c r="G568" i="1"/>
  <c r="F568" i="1"/>
  <c r="E568" i="1"/>
  <c r="D568" i="1"/>
  <c r="C570" i="1"/>
  <c r="C571" i="1"/>
  <c r="C569" i="1"/>
  <c r="K554" i="1"/>
  <c r="L554" i="1"/>
  <c r="M554" i="1"/>
  <c r="N554" i="1"/>
  <c r="I554" i="1"/>
  <c r="H554" i="1"/>
  <c r="G554" i="1"/>
  <c r="F554" i="1"/>
  <c r="E554" i="1"/>
  <c r="D554" i="1"/>
  <c r="C562" i="1"/>
  <c r="C557" i="1"/>
  <c r="C556" i="1"/>
  <c r="C555" i="1"/>
  <c r="O545" i="1"/>
  <c r="M545" i="1"/>
  <c r="L545" i="1"/>
  <c r="K545" i="1"/>
  <c r="I545" i="1"/>
  <c r="H545" i="1"/>
  <c r="G545" i="1"/>
  <c r="F545" i="1"/>
  <c r="E545" i="1"/>
  <c r="D545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2" i="1"/>
  <c r="C543" i="1"/>
  <c r="C544" i="1"/>
  <c r="C541" i="1"/>
  <c r="L534" i="1"/>
  <c r="K534" i="1"/>
  <c r="I534" i="1"/>
  <c r="G534" i="1"/>
  <c r="F534" i="1"/>
  <c r="D534" i="1"/>
  <c r="C537" i="1"/>
  <c r="C539" i="1"/>
  <c r="C538" i="1"/>
  <c r="O526" i="1"/>
  <c r="N526" i="1"/>
  <c r="M526" i="1"/>
  <c r="L526" i="1"/>
  <c r="K526" i="1"/>
  <c r="I526" i="1"/>
  <c r="G526" i="1"/>
  <c r="E526" i="1"/>
  <c r="C532" i="1"/>
  <c r="C531" i="1"/>
  <c r="C528" i="1"/>
  <c r="O522" i="1"/>
  <c r="N522" i="1"/>
  <c r="M522" i="1"/>
  <c r="L522" i="1"/>
  <c r="K522" i="1"/>
  <c r="I522" i="1"/>
  <c r="H522" i="1"/>
  <c r="G522" i="1"/>
  <c r="F522" i="1"/>
  <c r="E522" i="1"/>
  <c r="D522" i="1"/>
  <c r="C525" i="1"/>
  <c r="C524" i="1"/>
  <c r="C523" i="1"/>
  <c r="J509" i="1"/>
  <c r="K504" i="1"/>
  <c r="J504" i="1"/>
  <c r="E504" i="1"/>
  <c r="C508" i="1"/>
  <c r="C507" i="1"/>
  <c r="N497" i="1"/>
  <c r="J497" i="1"/>
  <c r="G497" i="1"/>
  <c r="F497" i="1"/>
  <c r="E497" i="1"/>
  <c r="C503" i="1"/>
  <c r="L731" i="1" l="1"/>
  <c r="D731" i="1"/>
  <c r="E731" i="1"/>
  <c r="G731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8" i="1"/>
  <c r="C471" i="1"/>
  <c r="C470" i="1"/>
  <c r="C469" i="1"/>
  <c r="C467" i="1"/>
  <c r="C466" i="1"/>
  <c r="C465" i="1"/>
  <c r="C464" i="1"/>
  <c r="C463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9" i="1"/>
  <c r="C461" i="1"/>
  <c r="C460" i="1"/>
  <c r="C458" i="1"/>
  <c r="C457" i="1"/>
  <c r="C456" i="1"/>
  <c r="O449" i="1"/>
  <c r="N449" i="1"/>
  <c r="M449" i="1"/>
  <c r="L449" i="1"/>
  <c r="K449" i="1"/>
  <c r="I449" i="1"/>
  <c r="H449" i="1"/>
  <c r="G449" i="1"/>
  <c r="F449" i="1"/>
  <c r="E449" i="1"/>
  <c r="D449" i="1"/>
  <c r="C452" i="1"/>
  <c r="C454" i="1"/>
  <c r="C453" i="1"/>
  <c r="C451" i="1"/>
  <c r="O444" i="1"/>
  <c r="N444" i="1"/>
  <c r="M444" i="1"/>
  <c r="H444" i="1"/>
  <c r="I444" i="1"/>
  <c r="K444" i="1"/>
  <c r="L444" i="1"/>
  <c r="G444" i="1"/>
  <c r="F444" i="1"/>
  <c r="E444" i="1"/>
  <c r="D444" i="1"/>
  <c r="C446" i="1"/>
  <c r="C448" i="1"/>
  <c r="C447" i="1"/>
  <c r="C445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4" i="1"/>
  <c r="C436" i="1"/>
  <c r="C435" i="1"/>
  <c r="N428" i="1"/>
  <c r="J428" i="1"/>
  <c r="O77" i="1"/>
  <c r="N77" i="1"/>
  <c r="J77" i="1"/>
  <c r="J63" i="1" s="1"/>
  <c r="I77" i="1"/>
  <c r="F77" i="1"/>
  <c r="C78" i="1"/>
  <c r="D69" i="1"/>
  <c r="N420" i="1"/>
  <c r="O420" i="1"/>
  <c r="M420" i="1"/>
  <c r="L420" i="1"/>
  <c r="K420" i="1"/>
  <c r="J420" i="1"/>
  <c r="I420" i="1"/>
  <c r="H420" i="1"/>
  <c r="G420" i="1"/>
  <c r="F420" i="1"/>
  <c r="E420" i="1"/>
  <c r="D420" i="1"/>
  <c r="C426" i="1"/>
  <c r="C424" i="1"/>
  <c r="C423" i="1"/>
  <c r="C421" i="1"/>
  <c r="O414" i="1"/>
  <c r="N414" i="1"/>
  <c r="M414" i="1"/>
  <c r="L414" i="1"/>
  <c r="K414" i="1"/>
  <c r="I414" i="1"/>
  <c r="H414" i="1"/>
  <c r="G414" i="1"/>
  <c r="F414" i="1"/>
  <c r="E414" i="1"/>
  <c r="D414" i="1"/>
  <c r="C419" i="1"/>
  <c r="C418" i="1"/>
  <c r="C417" i="1"/>
  <c r="C416" i="1"/>
  <c r="C415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5" i="1"/>
  <c r="C402" i="1"/>
  <c r="C401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76" i="1"/>
  <c r="C373" i="1"/>
  <c r="C372" i="1"/>
  <c r="C371" i="1"/>
  <c r="C370" i="1"/>
  <c r="C369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6" i="1"/>
  <c r="C364" i="1"/>
  <c r="C367" i="1"/>
  <c r="C365" i="1"/>
  <c r="C363" i="1"/>
  <c r="C362" i="1"/>
  <c r="C36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9" i="1"/>
  <c r="C357" i="1"/>
  <c r="C355" i="1"/>
  <c r="C354" i="1"/>
  <c r="C353" i="1"/>
  <c r="C352" i="1"/>
  <c r="O347" i="1"/>
  <c r="N347" i="1"/>
  <c r="M347" i="1"/>
  <c r="L347" i="1"/>
  <c r="K347" i="1"/>
  <c r="I347" i="1"/>
  <c r="H347" i="1"/>
  <c r="G347" i="1"/>
  <c r="F347" i="1"/>
  <c r="E347" i="1"/>
  <c r="D347" i="1"/>
  <c r="C350" i="1"/>
  <c r="C349" i="1"/>
  <c r="C348" i="1"/>
  <c r="O64" i="1"/>
  <c r="O63" i="1" s="1"/>
  <c r="N64" i="1"/>
  <c r="M64" i="1"/>
  <c r="M63" i="1" s="1"/>
  <c r="L64" i="1"/>
  <c r="L63" i="1" s="1"/>
  <c r="K64" i="1"/>
  <c r="K63" i="1" s="1"/>
  <c r="I64" i="1"/>
  <c r="H64" i="1"/>
  <c r="H63" i="1" s="1"/>
  <c r="G64" i="1"/>
  <c r="G63" i="1" s="1"/>
  <c r="F64" i="1"/>
  <c r="F63" i="1" s="1"/>
  <c r="E64" i="1"/>
  <c r="E63" i="1" s="1"/>
  <c r="D64" i="1"/>
  <c r="D63" i="1" s="1"/>
  <c r="C68" i="1"/>
  <c r="C67" i="1"/>
  <c r="C66" i="1"/>
  <c r="C65" i="1"/>
  <c r="N323" i="1"/>
  <c r="F323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O310" i="1"/>
  <c r="N310" i="1"/>
  <c r="M310" i="1"/>
  <c r="L310" i="1"/>
  <c r="K310" i="1"/>
  <c r="I310" i="1"/>
  <c r="H310" i="1"/>
  <c r="G310" i="1"/>
  <c r="F310" i="1"/>
  <c r="E310" i="1"/>
  <c r="D310" i="1"/>
  <c r="C315" i="1"/>
  <c r="C314" i="1"/>
  <c r="C313" i="1"/>
  <c r="C312" i="1"/>
  <c r="C311" i="1"/>
  <c r="N296" i="1"/>
  <c r="O296" i="1"/>
  <c r="M296" i="1"/>
  <c r="L296" i="1"/>
  <c r="K296" i="1"/>
  <c r="J296" i="1"/>
  <c r="I296" i="1"/>
  <c r="H296" i="1"/>
  <c r="G296" i="1"/>
  <c r="F296" i="1"/>
  <c r="E296" i="1"/>
  <c r="D296" i="1"/>
  <c r="C299" i="1"/>
  <c r="C297" i="1"/>
  <c r="O221" i="1"/>
  <c r="N221" i="1"/>
  <c r="M221" i="1"/>
  <c r="L221" i="1"/>
  <c r="K221" i="1"/>
  <c r="I221" i="1"/>
  <c r="H221" i="1"/>
  <c r="G221" i="1"/>
  <c r="F221" i="1"/>
  <c r="E221" i="1"/>
  <c r="D221" i="1"/>
  <c r="C228" i="1"/>
  <c r="C226" i="1"/>
  <c r="C224" i="1"/>
  <c r="C227" i="1"/>
  <c r="C225" i="1"/>
  <c r="C223" i="1"/>
  <c r="C222" i="1"/>
  <c r="O154" i="1"/>
  <c r="N154" i="1"/>
  <c r="M154" i="1"/>
  <c r="L154" i="1"/>
  <c r="K154" i="1"/>
  <c r="I154" i="1"/>
  <c r="H154" i="1"/>
  <c r="F104" i="1"/>
  <c r="E104" i="1"/>
  <c r="D104" i="1"/>
  <c r="D27" i="1"/>
  <c r="O10" i="1"/>
  <c r="N10" i="1"/>
  <c r="M10" i="1"/>
  <c r="L10" i="1"/>
  <c r="K10" i="1"/>
  <c r="J10" i="1"/>
  <c r="I10" i="1"/>
  <c r="H10" i="1"/>
  <c r="D10" i="1"/>
  <c r="G10" i="1"/>
  <c r="F10" i="1"/>
  <c r="E10" i="1"/>
  <c r="O169" i="1"/>
  <c r="N169" i="1"/>
  <c r="M169" i="1"/>
  <c r="L169" i="1"/>
  <c r="K169" i="1"/>
  <c r="J169" i="1"/>
  <c r="J153" i="1" s="1"/>
  <c r="I169" i="1"/>
  <c r="H169" i="1"/>
  <c r="F169" i="1"/>
  <c r="F153" i="1" s="1"/>
  <c r="E169" i="1"/>
  <c r="E153" i="1" s="1"/>
  <c r="L153" i="1" l="1"/>
  <c r="N153" i="1"/>
  <c r="I153" i="1"/>
  <c r="H153" i="1"/>
  <c r="K153" i="1"/>
  <c r="M153" i="1"/>
  <c r="O153" i="1"/>
  <c r="I63" i="1"/>
  <c r="N63" i="1"/>
  <c r="P41" i="7" l="1"/>
  <c r="P33" i="7"/>
  <c r="P61" i="7" l="1"/>
  <c r="P53" i="7"/>
  <c r="P52" i="7"/>
  <c r="P57" i="7" l="1"/>
  <c r="P55" i="7"/>
  <c r="P51" i="7"/>
  <c r="P49" i="7"/>
  <c r="P47" i="7"/>
  <c r="P45" i="7"/>
  <c r="P43" i="7"/>
  <c r="P39" i="7"/>
  <c r="P37" i="7"/>
  <c r="P35" i="7"/>
  <c r="P31" i="7"/>
  <c r="P29" i="7"/>
  <c r="P27" i="7"/>
  <c r="P25" i="7"/>
  <c r="P23" i="7"/>
  <c r="P21" i="7"/>
  <c r="P19" i="7"/>
  <c r="P17" i="7"/>
  <c r="P15" i="7"/>
  <c r="P13" i="7"/>
  <c r="P11" i="7"/>
  <c r="P9" i="7"/>
  <c r="P7" i="7"/>
  <c r="E186" i="1" l="1"/>
  <c r="F186" i="1"/>
  <c r="G186" i="1"/>
  <c r="H186" i="1"/>
  <c r="I186" i="1"/>
  <c r="J186" i="1"/>
  <c r="K186" i="1"/>
  <c r="L186" i="1"/>
  <c r="M186" i="1"/>
  <c r="N186" i="1"/>
  <c r="O186" i="1"/>
  <c r="N6" i="7" l="1"/>
  <c r="O6" i="7" s="1"/>
  <c r="P6" i="7" s="1"/>
  <c r="N8" i="7"/>
  <c r="O8" i="7" s="1"/>
  <c r="P8" i="7" s="1"/>
  <c r="N10" i="7"/>
  <c r="O10" i="7" s="1"/>
  <c r="P10" i="7" s="1"/>
  <c r="N12" i="7"/>
  <c r="O12" i="7" s="1"/>
  <c r="P12" i="7" s="1"/>
  <c r="N14" i="7"/>
  <c r="O14" i="7" s="1"/>
  <c r="P14" i="7" s="1"/>
  <c r="N16" i="7"/>
  <c r="O16" i="7" s="1"/>
  <c r="P16" i="7" s="1"/>
  <c r="N18" i="7"/>
  <c r="O18" i="7" s="1"/>
  <c r="P18" i="7" s="1"/>
  <c r="N20" i="7"/>
  <c r="O20" i="7" s="1"/>
  <c r="P20" i="7" s="1"/>
  <c r="N22" i="7"/>
  <c r="O22" i="7" s="1"/>
  <c r="P22" i="7" s="1"/>
  <c r="O24" i="7"/>
  <c r="P24" i="7" s="1"/>
  <c r="N26" i="7"/>
  <c r="O26" i="7" s="1"/>
  <c r="P26" i="7" s="1"/>
  <c r="N28" i="7"/>
  <c r="O28" i="7" s="1"/>
  <c r="P28" i="7" s="1"/>
  <c r="N30" i="7"/>
  <c r="O30" i="7" s="1"/>
  <c r="P30" i="7" s="1"/>
  <c r="N32" i="7"/>
  <c r="O32" i="7" s="1"/>
  <c r="P32" i="7" s="1"/>
  <c r="N34" i="7"/>
  <c r="O34" i="7" s="1"/>
  <c r="P34" i="7" s="1"/>
  <c r="O36" i="7"/>
  <c r="P36" i="7" s="1"/>
  <c r="N38" i="7"/>
  <c r="O38" i="7" s="1"/>
  <c r="P38" i="7" s="1"/>
  <c r="N40" i="7"/>
  <c r="O40" i="7" s="1"/>
  <c r="P40" i="7" s="1"/>
  <c r="N42" i="7"/>
  <c r="O42" i="7" s="1"/>
  <c r="P42" i="7" s="1"/>
  <c r="N44" i="7"/>
  <c r="O44" i="7" s="1"/>
  <c r="P44" i="7" s="1"/>
  <c r="N46" i="7"/>
  <c r="O46" i="7" s="1"/>
  <c r="P46" i="7" s="1"/>
  <c r="N48" i="7"/>
  <c r="O48" i="7" s="1"/>
  <c r="P48" i="7" s="1"/>
  <c r="N50" i="7"/>
  <c r="O50" i="7" s="1"/>
  <c r="P50" i="7" s="1"/>
  <c r="N54" i="7"/>
  <c r="O54" i="7" s="1"/>
  <c r="P54" i="7" s="1"/>
  <c r="N56" i="7"/>
  <c r="O56" i="7" s="1"/>
  <c r="P56" i="7" s="1"/>
  <c r="O59" i="7"/>
  <c r="P59" i="7" s="1"/>
  <c r="P60" i="7"/>
  <c r="D597" i="1" l="1"/>
  <c r="D125" i="1"/>
  <c r="E933" i="1" l="1"/>
  <c r="F933" i="1"/>
  <c r="G933" i="1"/>
  <c r="H933" i="1"/>
  <c r="I933" i="1"/>
  <c r="J933" i="1"/>
  <c r="K933" i="1"/>
  <c r="L933" i="1"/>
  <c r="M933" i="1"/>
  <c r="N933" i="1"/>
  <c r="O933" i="1"/>
  <c r="D933" i="1"/>
  <c r="E876" i="1"/>
  <c r="F876" i="1"/>
  <c r="G876" i="1"/>
  <c r="H876" i="1"/>
  <c r="I876" i="1"/>
  <c r="J876" i="1"/>
  <c r="K876" i="1"/>
  <c r="L876" i="1"/>
  <c r="M876" i="1"/>
  <c r="N876" i="1"/>
  <c r="O876" i="1"/>
  <c r="D876" i="1"/>
  <c r="E859" i="1"/>
  <c r="F859" i="1"/>
  <c r="G859" i="1"/>
  <c r="H859" i="1"/>
  <c r="I859" i="1"/>
  <c r="J859" i="1"/>
  <c r="K859" i="1"/>
  <c r="L859" i="1"/>
  <c r="M859" i="1"/>
  <c r="N859" i="1"/>
  <c r="O859" i="1"/>
  <c r="D859" i="1"/>
  <c r="E849" i="1"/>
  <c r="F849" i="1"/>
  <c r="G849" i="1"/>
  <c r="H849" i="1"/>
  <c r="I849" i="1"/>
  <c r="J849" i="1"/>
  <c r="K849" i="1"/>
  <c r="L849" i="1"/>
  <c r="M849" i="1"/>
  <c r="N849" i="1"/>
  <c r="O849" i="1"/>
  <c r="D849" i="1"/>
  <c r="E816" i="1"/>
  <c r="F816" i="1"/>
  <c r="G816" i="1"/>
  <c r="H816" i="1"/>
  <c r="I816" i="1"/>
  <c r="J816" i="1"/>
  <c r="K816" i="1"/>
  <c r="L816" i="1"/>
  <c r="M816" i="1"/>
  <c r="N816" i="1"/>
  <c r="O816" i="1"/>
  <c r="D816" i="1"/>
  <c r="E784" i="1"/>
  <c r="F784" i="1"/>
  <c r="G784" i="1"/>
  <c r="H784" i="1"/>
  <c r="I784" i="1"/>
  <c r="J784" i="1"/>
  <c r="K784" i="1"/>
  <c r="L784" i="1"/>
  <c r="M784" i="1"/>
  <c r="N784" i="1"/>
  <c r="O784" i="1"/>
  <c r="D784" i="1"/>
  <c r="E771" i="1"/>
  <c r="F771" i="1"/>
  <c r="G771" i="1"/>
  <c r="H771" i="1"/>
  <c r="I771" i="1"/>
  <c r="J771" i="1"/>
  <c r="J852" i="1" s="1"/>
  <c r="K771" i="1"/>
  <c r="L771" i="1"/>
  <c r="M771" i="1"/>
  <c r="N771" i="1"/>
  <c r="O771" i="1"/>
  <c r="D771" i="1"/>
  <c r="E760" i="1"/>
  <c r="F760" i="1"/>
  <c r="G760" i="1"/>
  <c r="H760" i="1"/>
  <c r="I760" i="1"/>
  <c r="J760" i="1"/>
  <c r="K760" i="1"/>
  <c r="L760" i="1"/>
  <c r="M760" i="1"/>
  <c r="N760" i="1"/>
  <c r="O760" i="1"/>
  <c r="D760" i="1"/>
  <c r="E708" i="1"/>
  <c r="F708" i="1"/>
  <c r="G708" i="1"/>
  <c r="H708" i="1"/>
  <c r="I708" i="1"/>
  <c r="J708" i="1"/>
  <c r="K708" i="1"/>
  <c r="L708" i="1"/>
  <c r="M708" i="1"/>
  <c r="N708" i="1"/>
  <c r="O708" i="1"/>
  <c r="D708" i="1"/>
  <c r="E687" i="1"/>
  <c r="F687" i="1"/>
  <c r="G687" i="1"/>
  <c r="H687" i="1"/>
  <c r="I687" i="1"/>
  <c r="J687" i="1"/>
  <c r="J764" i="1" s="1"/>
  <c r="K687" i="1"/>
  <c r="L687" i="1"/>
  <c r="M687" i="1"/>
  <c r="N687" i="1"/>
  <c r="O687" i="1"/>
  <c r="D687" i="1"/>
  <c r="E670" i="1"/>
  <c r="F670" i="1"/>
  <c r="G670" i="1"/>
  <c r="H670" i="1"/>
  <c r="I670" i="1"/>
  <c r="J670" i="1"/>
  <c r="K670" i="1"/>
  <c r="L670" i="1"/>
  <c r="M670" i="1"/>
  <c r="N670" i="1"/>
  <c r="O670" i="1"/>
  <c r="D670" i="1"/>
  <c r="E639" i="1"/>
  <c r="F639" i="1"/>
  <c r="G639" i="1"/>
  <c r="H639" i="1"/>
  <c r="I639" i="1"/>
  <c r="J639" i="1"/>
  <c r="K639" i="1"/>
  <c r="L639" i="1"/>
  <c r="M639" i="1"/>
  <c r="N639" i="1"/>
  <c r="O639" i="1"/>
  <c r="D639" i="1"/>
  <c r="E614" i="1"/>
  <c r="F614" i="1"/>
  <c r="G614" i="1"/>
  <c r="H614" i="1"/>
  <c r="I614" i="1"/>
  <c r="J614" i="1"/>
  <c r="K614" i="1"/>
  <c r="L614" i="1"/>
  <c r="M614" i="1"/>
  <c r="N614" i="1"/>
  <c r="O614" i="1"/>
  <c r="D614" i="1"/>
  <c r="E597" i="1"/>
  <c r="F597" i="1"/>
  <c r="G597" i="1"/>
  <c r="H597" i="1"/>
  <c r="I597" i="1"/>
  <c r="J597" i="1"/>
  <c r="J680" i="1" s="1"/>
  <c r="K597" i="1"/>
  <c r="L597" i="1"/>
  <c r="M597" i="1"/>
  <c r="N597" i="1"/>
  <c r="O597" i="1"/>
  <c r="I937" i="1" l="1"/>
  <c r="I852" i="1"/>
  <c r="K852" i="1"/>
  <c r="K764" i="1"/>
  <c r="I764" i="1"/>
  <c r="I680" i="1"/>
  <c r="K680" i="1"/>
  <c r="K937" i="1"/>
  <c r="J937" i="1"/>
  <c r="O937" i="1"/>
  <c r="G937" i="1"/>
  <c r="N937" i="1"/>
  <c r="F937" i="1"/>
  <c r="L680" i="1"/>
  <c r="D680" i="1"/>
  <c r="L764" i="1"/>
  <c r="L937" i="1"/>
  <c r="H680" i="1"/>
  <c r="H937" i="1"/>
  <c r="D764" i="1"/>
  <c r="D852" i="1"/>
  <c r="D937" i="1"/>
  <c r="H764" i="1"/>
  <c r="H852" i="1"/>
  <c r="M937" i="1"/>
  <c r="E937" i="1"/>
  <c r="O680" i="1"/>
  <c r="G680" i="1"/>
  <c r="O764" i="1"/>
  <c r="G764" i="1"/>
  <c r="O852" i="1"/>
  <c r="G852" i="1"/>
  <c r="N680" i="1"/>
  <c r="F680" i="1"/>
  <c r="N764" i="1"/>
  <c r="F764" i="1"/>
  <c r="N852" i="1"/>
  <c r="F852" i="1"/>
  <c r="M680" i="1"/>
  <c r="E680" i="1"/>
  <c r="M764" i="1"/>
  <c r="E764" i="1"/>
  <c r="M852" i="1"/>
  <c r="E852" i="1"/>
  <c r="L852" i="1"/>
  <c r="E551" i="1"/>
  <c r="F551" i="1"/>
  <c r="G551" i="1"/>
  <c r="H551" i="1"/>
  <c r="I551" i="1"/>
  <c r="J551" i="1"/>
  <c r="K551" i="1"/>
  <c r="L551" i="1"/>
  <c r="M551" i="1"/>
  <c r="N551" i="1"/>
  <c r="O551" i="1"/>
  <c r="D551" i="1"/>
  <c r="E521" i="1"/>
  <c r="F521" i="1"/>
  <c r="G521" i="1"/>
  <c r="H521" i="1"/>
  <c r="I521" i="1"/>
  <c r="J521" i="1"/>
  <c r="K521" i="1"/>
  <c r="L521" i="1"/>
  <c r="M521" i="1"/>
  <c r="N521" i="1"/>
  <c r="O521" i="1"/>
  <c r="D521" i="1"/>
  <c r="E496" i="1"/>
  <c r="F496" i="1"/>
  <c r="F590" i="1" s="1"/>
  <c r="G496" i="1"/>
  <c r="H496" i="1"/>
  <c r="I496" i="1"/>
  <c r="J496" i="1"/>
  <c r="K496" i="1"/>
  <c r="L496" i="1"/>
  <c r="M496" i="1"/>
  <c r="N496" i="1"/>
  <c r="N590" i="1" s="1"/>
  <c r="O496" i="1"/>
  <c r="D496" i="1"/>
  <c r="E478" i="1"/>
  <c r="F478" i="1"/>
  <c r="G478" i="1"/>
  <c r="H478" i="1"/>
  <c r="I478" i="1"/>
  <c r="J478" i="1"/>
  <c r="K478" i="1"/>
  <c r="L478" i="1"/>
  <c r="M478" i="1"/>
  <c r="N478" i="1"/>
  <c r="O478" i="1"/>
  <c r="D478" i="1"/>
  <c r="E443" i="1"/>
  <c r="F443" i="1"/>
  <c r="G443" i="1"/>
  <c r="H443" i="1"/>
  <c r="I443" i="1"/>
  <c r="J443" i="1"/>
  <c r="K443" i="1"/>
  <c r="L443" i="1"/>
  <c r="M443" i="1"/>
  <c r="N443" i="1"/>
  <c r="O443" i="1"/>
  <c r="D443" i="1"/>
  <c r="E413" i="1"/>
  <c r="F413" i="1"/>
  <c r="G413" i="1"/>
  <c r="H413" i="1"/>
  <c r="I413" i="1"/>
  <c r="J413" i="1"/>
  <c r="K413" i="1"/>
  <c r="L413" i="1"/>
  <c r="M413" i="1"/>
  <c r="N413" i="1"/>
  <c r="O413" i="1"/>
  <c r="D413" i="1"/>
  <c r="E393" i="1"/>
  <c r="F393" i="1"/>
  <c r="G393" i="1"/>
  <c r="H393" i="1"/>
  <c r="I393" i="1"/>
  <c r="J393" i="1"/>
  <c r="K393" i="1"/>
  <c r="L393" i="1"/>
  <c r="M393" i="1"/>
  <c r="N393" i="1"/>
  <c r="O393" i="1"/>
  <c r="D393" i="1"/>
  <c r="E346" i="1"/>
  <c r="F346" i="1"/>
  <c r="G346" i="1"/>
  <c r="H346" i="1"/>
  <c r="I346" i="1"/>
  <c r="J346" i="1"/>
  <c r="K346" i="1"/>
  <c r="L346" i="1"/>
  <c r="M346" i="1"/>
  <c r="N346" i="1"/>
  <c r="O346" i="1"/>
  <c r="D346" i="1"/>
  <c r="E309" i="1"/>
  <c r="F309" i="1"/>
  <c r="G309" i="1"/>
  <c r="H309" i="1"/>
  <c r="I309" i="1"/>
  <c r="J309" i="1"/>
  <c r="K309" i="1"/>
  <c r="L309" i="1"/>
  <c r="M309" i="1"/>
  <c r="N309" i="1"/>
  <c r="O309" i="1"/>
  <c r="E292" i="1"/>
  <c r="F292" i="1"/>
  <c r="G292" i="1"/>
  <c r="H292" i="1"/>
  <c r="I292" i="1"/>
  <c r="J292" i="1"/>
  <c r="K292" i="1"/>
  <c r="L292" i="1"/>
  <c r="M292" i="1"/>
  <c r="N292" i="1"/>
  <c r="O292" i="1"/>
  <c r="D309" i="1"/>
  <c r="D292" i="1"/>
  <c r="G590" i="1" l="1"/>
  <c r="O590" i="1"/>
  <c r="N489" i="1"/>
  <c r="F489" i="1"/>
  <c r="O489" i="1"/>
  <c r="G489" i="1"/>
  <c r="D489" i="1"/>
  <c r="H489" i="1"/>
  <c r="D590" i="1"/>
  <c r="H590" i="1"/>
  <c r="K489" i="1"/>
  <c r="K590" i="1"/>
  <c r="I489" i="1"/>
  <c r="I590" i="1"/>
  <c r="M489" i="1"/>
  <c r="E489" i="1"/>
  <c r="M590" i="1"/>
  <c r="E590" i="1"/>
  <c r="L489" i="1"/>
  <c r="L590" i="1"/>
  <c r="J489" i="1"/>
  <c r="J590" i="1"/>
  <c r="N386" i="1"/>
  <c r="L386" i="1"/>
  <c r="J386" i="1"/>
  <c r="H386" i="1"/>
  <c r="F386" i="1"/>
  <c r="D386" i="1"/>
  <c r="O386" i="1"/>
  <c r="M386" i="1"/>
  <c r="K386" i="1"/>
  <c r="I386" i="1"/>
  <c r="G386" i="1"/>
  <c r="E386" i="1"/>
  <c r="E276" i="1"/>
  <c r="F276" i="1"/>
  <c r="G276" i="1"/>
  <c r="H276" i="1"/>
  <c r="I276" i="1"/>
  <c r="J276" i="1"/>
  <c r="K276" i="1"/>
  <c r="L276" i="1"/>
  <c r="M276" i="1"/>
  <c r="N276" i="1"/>
  <c r="O276" i="1"/>
  <c r="D276" i="1"/>
  <c r="E252" i="1"/>
  <c r="F252" i="1"/>
  <c r="G252" i="1"/>
  <c r="H252" i="1"/>
  <c r="I252" i="1"/>
  <c r="J252" i="1"/>
  <c r="K252" i="1"/>
  <c r="L252" i="1"/>
  <c r="M252" i="1"/>
  <c r="N252" i="1"/>
  <c r="O252" i="1"/>
  <c r="D252" i="1"/>
  <c r="E220" i="1"/>
  <c r="F220" i="1"/>
  <c r="G220" i="1"/>
  <c r="H220" i="1"/>
  <c r="I220" i="1"/>
  <c r="J220" i="1"/>
  <c r="K220" i="1"/>
  <c r="L220" i="1"/>
  <c r="M220" i="1"/>
  <c r="N220" i="1"/>
  <c r="O220" i="1"/>
  <c r="D220" i="1"/>
  <c r="E196" i="1"/>
  <c r="F196" i="1"/>
  <c r="G196" i="1"/>
  <c r="H196" i="1"/>
  <c r="I196" i="1"/>
  <c r="J196" i="1"/>
  <c r="K196" i="1"/>
  <c r="L196" i="1"/>
  <c r="M196" i="1"/>
  <c r="N196" i="1"/>
  <c r="O196" i="1"/>
  <c r="D196" i="1"/>
  <c r="D186" i="1"/>
  <c r="E125" i="1"/>
  <c r="F125" i="1"/>
  <c r="G125" i="1"/>
  <c r="H125" i="1"/>
  <c r="I125" i="1"/>
  <c r="J125" i="1"/>
  <c r="K125" i="1"/>
  <c r="L125" i="1"/>
  <c r="M125" i="1"/>
  <c r="N125" i="1"/>
  <c r="O125" i="1"/>
  <c r="G104" i="1"/>
  <c r="H104" i="1"/>
  <c r="I104" i="1"/>
  <c r="J104" i="1"/>
  <c r="K104" i="1"/>
  <c r="L104" i="1"/>
  <c r="L941" i="1" s="1"/>
  <c r="L948" i="1" s="1"/>
  <c r="M104" i="1"/>
  <c r="N104" i="1"/>
  <c r="O104" i="1"/>
  <c r="D94" i="1"/>
  <c r="E27" i="1"/>
  <c r="F27" i="1"/>
  <c r="G27" i="1"/>
  <c r="H27" i="1"/>
  <c r="I27" i="1"/>
  <c r="J27" i="1"/>
  <c r="K27" i="1"/>
  <c r="L27" i="1"/>
  <c r="M27" i="1"/>
  <c r="N27" i="1"/>
  <c r="O27" i="1"/>
  <c r="D942" i="1"/>
  <c r="D949" i="1" s="1"/>
  <c r="M944" i="1" l="1"/>
  <c r="E944" i="1"/>
  <c r="H944" i="1"/>
  <c r="I941" i="1"/>
  <c r="I948" i="1" s="1"/>
  <c r="O944" i="1"/>
  <c r="G944" i="1"/>
  <c r="K941" i="1"/>
  <c r="K948" i="1" s="1"/>
  <c r="F941" i="1"/>
  <c r="F948" i="1" s="1"/>
  <c r="J944" i="1"/>
  <c r="N941" i="1"/>
  <c r="N948" i="1" s="1"/>
  <c r="H941" i="1"/>
  <c r="H948" i="1" s="1"/>
  <c r="L944" i="1"/>
  <c r="L285" i="1"/>
  <c r="D941" i="1"/>
  <c r="D948" i="1" s="1"/>
  <c r="J285" i="1"/>
  <c r="I944" i="1"/>
  <c r="I285" i="1"/>
  <c r="O942" i="1"/>
  <c r="O949" i="1" s="1"/>
  <c r="M942" i="1"/>
  <c r="M949" i="1" s="1"/>
  <c r="G942" i="1"/>
  <c r="G949" i="1" s="1"/>
  <c r="E942" i="1"/>
  <c r="E949" i="1" s="1"/>
  <c r="K943" i="1"/>
  <c r="I943" i="1"/>
  <c r="L942" i="1"/>
  <c r="L949" i="1" s="1"/>
  <c r="L952" i="1" s="1"/>
  <c r="J942" i="1"/>
  <c r="J949" i="1" s="1"/>
  <c r="H942" i="1"/>
  <c r="H949" i="1" s="1"/>
  <c r="D943" i="1"/>
  <c r="D950" i="1" s="1"/>
  <c r="N943" i="1"/>
  <c r="L943" i="1"/>
  <c r="H943" i="1"/>
  <c r="F943" i="1"/>
  <c r="D944" i="1"/>
  <c r="D951" i="1" s="1"/>
  <c r="D189" i="1"/>
  <c r="H189" i="1"/>
  <c r="N97" i="1"/>
  <c r="M97" i="1"/>
  <c r="M941" i="1"/>
  <c r="M948" i="1" s="1"/>
  <c r="E97" i="1"/>
  <c r="E941" i="1"/>
  <c r="E948" i="1" s="1"/>
  <c r="E952" i="1" s="1"/>
  <c r="I942" i="1"/>
  <c r="I949" i="1" s="1"/>
  <c r="M943" i="1"/>
  <c r="E943" i="1"/>
  <c r="M189" i="1"/>
  <c r="E189" i="1"/>
  <c r="K97" i="1"/>
  <c r="I97" i="1"/>
  <c r="J941" i="1"/>
  <c r="J948" i="1" s="1"/>
  <c r="N942" i="1"/>
  <c r="N949" i="1" s="1"/>
  <c r="F942" i="1"/>
  <c r="F949" i="1" s="1"/>
  <c r="J943" i="1"/>
  <c r="N944" i="1"/>
  <c r="F944" i="1"/>
  <c r="N285" i="1"/>
  <c r="F285" i="1"/>
  <c r="I189" i="1"/>
  <c r="J97" i="1"/>
  <c r="F97" i="1"/>
  <c r="O941" i="1"/>
  <c r="O948" i="1" s="1"/>
  <c r="G941" i="1"/>
  <c r="G948" i="1" s="1"/>
  <c r="K942" i="1"/>
  <c r="K949" i="1" s="1"/>
  <c r="O943" i="1"/>
  <c r="G943" i="1"/>
  <c r="K944" i="1"/>
  <c r="K285" i="1"/>
  <c r="L97" i="1"/>
  <c r="D97" i="1"/>
  <c r="H97" i="1"/>
  <c r="O97" i="1"/>
  <c r="G97" i="1"/>
  <c r="N189" i="1"/>
  <c r="F189" i="1"/>
  <c r="O189" i="1"/>
  <c r="G189" i="1"/>
  <c r="L189" i="1"/>
  <c r="D285" i="1"/>
  <c r="H285" i="1"/>
  <c r="K189" i="1"/>
  <c r="O285" i="1"/>
  <c r="G285" i="1"/>
  <c r="J189" i="1"/>
  <c r="M285" i="1"/>
  <c r="E285" i="1"/>
  <c r="M952" i="1" l="1"/>
  <c r="N952" i="1"/>
  <c r="F952" i="1"/>
  <c r="O952" i="1"/>
  <c r="G952" i="1"/>
  <c r="J952" i="1"/>
  <c r="H952" i="1"/>
  <c r="K952" i="1"/>
  <c r="D952" i="1"/>
  <c r="I952" i="1"/>
  <c r="L945" i="1"/>
  <c r="I945" i="1"/>
  <c r="H945" i="1"/>
  <c r="D945" i="1"/>
  <c r="G945" i="1"/>
  <c r="J945" i="1"/>
  <c r="E945" i="1"/>
  <c r="K945" i="1"/>
  <c r="N945" i="1"/>
  <c r="F945" i="1"/>
  <c r="O945" i="1"/>
  <c r="M945" i="1"/>
</calcChain>
</file>

<file path=xl/sharedStrings.xml><?xml version="1.0" encoding="utf-8"?>
<sst xmlns="http://schemas.openxmlformats.org/spreadsheetml/2006/main" count="1198" uniqueCount="380">
  <si>
    <t xml:space="preserve">Приём пищи, наименование блюда </t>
  </si>
  <si>
    <t>Масса порций, г</t>
  </si>
  <si>
    <t>Белки</t>
  </si>
  <si>
    <t>Жиры</t>
  </si>
  <si>
    <t>Углеводы</t>
  </si>
  <si>
    <t>Е</t>
  </si>
  <si>
    <t>Mg</t>
  </si>
  <si>
    <t>Витамины, мг</t>
  </si>
  <si>
    <t>Минеральные вещества, мг</t>
  </si>
  <si>
    <t>Пищевые вещества, г</t>
  </si>
  <si>
    <t>Энергетическая ценность Ккал</t>
  </si>
  <si>
    <t>В1</t>
  </si>
  <si>
    <t>С</t>
  </si>
  <si>
    <t>А</t>
  </si>
  <si>
    <t>Са</t>
  </si>
  <si>
    <t>Р</t>
  </si>
  <si>
    <t>Fe</t>
  </si>
  <si>
    <t>№ рец.</t>
  </si>
  <si>
    <t>ПРИМЕРНОЕ ОСЕННЕ-ЗИМНЕЕ МЕНЮ МБОУ СОШ № 5 г. Бердска</t>
  </si>
  <si>
    <t>Школьники 7-10 лет</t>
  </si>
  <si>
    <t>День 1</t>
  </si>
  <si>
    <t>Каша из хлопьев овсяных "Геркулес" жидкая</t>
  </si>
  <si>
    <t>сахарный песок</t>
  </si>
  <si>
    <t>масло сливочное</t>
  </si>
  <si>
    <t>овсяные хлопья "геркулес"</t>
  </si>
  <si>
    <t>молоко</t>
  </si>
  <si>
    <t>Бутерброд с сыром</t>
  </si>
  <si>
    <t>хлеб пшеничный</t>
  </si>
  <si>
    <t>Кофейный напиток с молоком</t>
  </si>
  <si>
    <t xml:space="preserve">Кофейный напиток </t>
  </si>
  <si>
    <t>хлеб ржаной</t>
  </si>
  <si>
    <t>Борщ из свежей капусты</t>
  </si>
  <si>
    <t>Огурец свежий</t>
  </si>
  <si>
    <t>свекла</t>
  </si>
  <si>
    <t>томат пюре</t>
  </si>
  <si>
    <t>сметана</t>
  </si>
  <si>
    <t>лук репчатый</t>
  </si>
  <si>
    <t>морковь</t>
  </si>
  <si>
    <t>капуста белокачанная</t>
  </si>
  <si>
    <t>петрушка</t>
  </si>
  <si>
    <t>бульон куриный</t>
  </si>
  <si>
    <t>масло растительное</t>
  </si>
  <si>
    <t>лимонная кислота</t>
  </si>
  <si>
    <t>Кнели с рисом</t>
  </si>
  <si>
    <t>крупа рисовая</t>
  </si>
  <si>
    <t>Соус томатный с овощами</t>
  </si>
  <si>
    <t>мука пшеничная</t>
  </si>
  <si>
    <t>соль йодированная</t>
  </si>
  <si>
    <t>Каша гречневая рассыпчатая</t>
  </si>
  <si>
    <t>гречневая крупа</t>
  </si>
  <si>
    <t>Компот из смеси сухофруктов</t>
  </si>
  <si>
    <t>смесь сухофруктов</t>
  </si>
  <si>
    <t>Солянка из птицы</t>
  </si>
  <si>
    <t>курица 1 категории</t>
  </si>
  <si>
    <t>огурцы соленые</t>
  </si>
  <si>
    <t>лимон</t>
  </si>
  <si>
    <t>Гуляш из говядины</t>
  </si>
  <si>
    <t>говядина,лопаточная часть</t>
  </si>
  <si>
    <t>петрушка(корень)</t>
  </si>
  <si>
    <t>Макаронные изделия отварные</t>
  </si>
  <si>
    <t xml:space="preserve">макаронные изделия </t>
  </si>
  <si>
    <t>Компот из апельсинов с яблоками</t>
  </si>
  <si>
    <t>яблоки</t>
  </si>
  <si>
    <t>апельсин</t>
  </si>
  <si>
    <t>Пряники</t>
  </si>
  <si>
    <t>молоко "Тема"</t>
  </si>
  <si>
    <t>Итого за день</t>
  </si>
  <si>
    <t>Рыба запеченная в сметанном соусе</t>
  </si>
  <si>
    <t>сыр твердый</t>
  </si>
  <si>
    <t>Рис отварной</t>
  </si>
  <si>
    <t>Чай с сахаром</t>
  </si>
  <si>
    <t>чай высшего сорта</t>
  </si>
  <si>
    <t xml:space="preserve">Хлеб пшеничный </t>
  </si>
  <si>
    <t>Хлеб ржаной</t>
  </si>
  <si>
    <t>Яблоко</t>
  </si>
  <si>
    <t>Икра морковная</t>
  </si>
  <si>
    <t>Щи из свежей капусты</t>
  </si>
  <si>
    <t>картофель</t>
  </si>
  <si>
    <t>Жаркое по- домашнему</t>
  </si>
  <si>
    <t>говядина, тазобедренная часть</t>
  </si>
  <si>
    <t>Напиток из шиповника</t>
  </si>
  <si>
    <t>шиповник</t>
  </si>
  <si>
    <t xml:space="preserve">Салат витаминный </t>
  </si>
  <si>
    <t>горох шлифованный</t>
  </si>
  <si>
    <t>Курица в соусе томатном</t>
  </si>
  <si>
    <t>Каша перловая рассыпчатая</t>
  </si>
  <si>
    <t>крупа перловая</t>
  </si>
  <si>
    <t>Напиток клюквенный</t>
  </si>
  <si>
    <t>клюква</t>
  </si>
  <si>
    <t>Сок яблочный</t>
  </si>
  <si>
    <t>Бутерброд с маслом</t>
  </si>
  <si>
    <t>Запеканка из творога</t>
  </si>
  <si>
    <t>крупа манная</t>
  </si>
  <si>
    <t>сухари</t>
  </si>
  <si>
    <t>творог</t>
  </si>
  <si>
    <t>ванилин</t>
  </si>
  <si>
    <t>яйцо</t>
  </si>
  <si>
    <t>Соус клюквенный</t>
  </si>
  <si>
    <t>крахмал</t>
  </si>
  <si>
    <t>Какао с молоком</t>
  </si>
  <si>
    <t>какао-порошок</t>
  </si>
  <si>
    <t>День 2</t>
  </si>
  <si>
    <t>День 3</t>
  </si>
  <si>
    <t>Икра свекольная</t>
  </si>
  <si>
    <t>Суп картофельный с клецками</t>
  </si>
  <si>
    <t>Рагу из птицы</t>
  </si>
  <si>
    <t xml:space="preserve">крахмал </t>
  </si>
  <si>
    <t>Хлеб пшеничный</t>
  </si>
  <si>
    <t>Овощи натуральные(помидор)</t>
  </si>
  <si>
    <t>помидоры</t>
  </si>
  <si>
    <t>Рассольник ленинградский</t>
  </si>
  <si>
    <t>Азу</t>
  </si>
  <si>
    <t>Компот из смородины черной</t>
  </si>
  <si>
    <t>смородина</t>
  </si>
  <si>
    <t>Кефир</t>
  </si>
  <si>
    <t>День 4</t>
  </si>
  <si>
    <t>колбаса"Сервелат фирменный"</t>
  </si>
  <si>
    <t>Омлет с сыром</t>
  </si>
  <si>
    <t>Кофейный напиток на сгущенном молоке</t>
  </si>
  <si>
    <t>молоко сгущ.с сахаром 8,5% жирности</t>
  </si>
  <si>
    <t xml:space="preserve">кофейный напиток </t>
  </si>
  <si>
    <t>Салат из моркови с яблоком и курагой</t>
  </si>
  <si>
    <t>курага</t>
  </si>
  <si>
    <t>макаронные изделия</t>
  </si>
  <si>
    <t>Говядина в кисло-сладком соусе</t>
  </si>
  <si>
    <t>говядина, тазабедренная часть</t>
  </si>
  <si>
    <t>Рис, припущенный с овощами</t>
  </si>
  <si>
    <t>горошек зеленый</t>
  </si>
  <si>
    <t>Компот из вишен и яблок</t>
  </si>
  <si>
    <t>помидоры(томаты)</t>
  </si>
  <si>
    <t>вишня</t>
  </si>
  <si>
    <t>огурец свежий</t>
  </si>
  <si>
    <t>Суп картофельный с фрикадельками(мясными)</t>
  </si>
  <si>
    <t>говядина (котлетное мясо)</t>
  </si>
  <si>
    <t>Суфле рыбное</t>
  </si>
  <si>
    <t xml:space="preserve">Капуста тушеная </t>
  </si>
  <si>
    <t>Вафли</t>
  </si>
  <si>
    <t>Сок фруктовый или ягодный</t>
  </si>
  <si>
    <t>Сок абрикосовый</t>
  </si>
  <si>
    <t>День 5</t>
  </si>
  <si>
    <t>Яйцо вареное</t>
  </si>
  <si>
    <t xml:space="preserve">яйцо </t>
  </si>
  <si>
    <t>Бутерброд с маслом и сыром</t>
  </si>
  <si>
    <t>Каша манная вязкая</t>
  </si>
  <si>
    <t>Чай с молоком</t>
  </si>
  <si>
    <t>Банан</t>
  </si>
  <si>
    <t>курица,1 категории</t>
  </si>
  <si>
    <t>Котлеты, биточки, шницели припущенные</t>
  </si>
  <si>
    <t>Фасоль отварная</t>
  </si>
  <si>
    <t xml:space="preserve">Фасоль </t>
  </si>
  <si>
    <t>Компот из свежих плодов или ягод</t>
  </si>
  <si>
    <t>Салат из моркови с зеленым горошком</t>
  </si>
  <si>
    <t>крупа ячневая</t>
  </si>
  <si>
    <t>пшено</t>
  </si>
  <si>
    <t>Кнели из говядины</t>
  </si>
  <si>
    <t>Рагу из овощей с кабачками</t>
  </si>
  <si>
    <t>кабачек</t>
  </si>
  <si>
    <t>горошек зеленый консервированный</t>
  </si>
  <si>
    <t>сухофрукты</t>
  </si>
  <si>
    <t>Сырники из творога запеченные</t>
  </si>
  <si>
    <t>Ряженка</t>
  </si>
  <si>
    <t>День 6</t>
  </si>
  <si>
    <t>Суфле из кур</t>
  </si>
  <si>
    <t>курица, 1 категории</t>
  </si>
  <si>
    <t>Соус молочный</t>
  </si>
  <si>
    <t>Макаронные изделия, запеченные с сыром</t>
  </si>
  <si>
    <t>Мандарин</t>
  </si>
  <si>
    <t>Картофельное пюре</t>
  </si>
  <si>
    <t>Кисель из кураги</t>
  </si>
  <si>
    <t>Овощи натуральные (помидоры)</t>
  </si>
  <si>
    <t>помидоры (томаты)</t>
  </si>
  <si>
    <t>Свекольник</t>
  </si>
  <si>
    <t>Бифштекс рубленый паровой</t>
  </si>
  <si>
    <t>Соус красный основной</t>
  </si>
  <si>
    <t>петрушка (корень)</t>
  </si>
  <si>
    <t>Молоко"Тема"</t>
  </si>
  <si>
    <t>День 7</t>
  </si>
  <si>
    <t>изюм</t>
  </si>
  <si>
    <t>Каша боярская (пшенная с изюмом)</t>
  </si>
  <si>
    <t>Салат из моркови и яблок</t>
  </si>
  <si>
    <t>Суп крестьянский с крупой</t>
  </si>
  <si>
    <t>Жаркое по-домашнему</t>
  </si>
  <si>
    <t>Салат из свежих помидоров с перцем</t>
  </si>
  <si>
    <t>перец сладкий</t>
  </si>
  <si>
    <t>лук зеленый</t>
  </si>
  <si>
    <t>Плов из отварной говядины</t>
  </si>
  <si>
    <t>Сок фруктовый</t>
  </si>
  <si>
    <t>сок сливовый</t>
  </si>
  <si>
    <t>День 8</t>
  </si>
  <si>
    <t>Соус из кураги</t>
  </si>
  <si>
    <t>абрикосы суш.без косточки (курага)</t>
  </si>
  <si>
    <t>Овощи натуральные (огурцы)</t>
  </si>
  <si>
    <t>Уха рыбацкая</t>
  </si>
  <si>
    <t>АЗУ</t>
  </si>
  <si>
    <t>Суп картофельный с макаронными изделиями</t>
  </si>
  <si>
    <t>Рулет из говядины паровой</t>
  </si>
  <si>
    <t>Каша ячневая рассыпчатая</t>
  </si>
  <si>
    <t xml:space="preserve">Соус томатный </t>
  </si>
  <si>
    <t>сок абрикосовый</t>
  </si>
  <si>
    <t>День 9</t>
  </si>
  <si>
    <t>Каша рисовая молочная жидкая</t>
  </si>
  <si>
    <t>какао порошок</t>
  </si>
  <si>
    <t>Салат зеленый с огурцами и помидорами</t>
  </si>
  <si>
    <t>Суп из овощей с фасолью</t>
  </si>
  <si>
    <t>фасоль</t>
  </si>
  <si>
    <t>Оладьи из печени по-кунцевски</t>
  </si>
  <si>
    <t>печень говяжья</t>
  </si>
  <si>
    <t xml:space="preserve">Овощи отварные </t>
  </si>
  <si>
    <t>смесь овощная быстрозамороженная</t>
  </si>
  <si>
    <t>Салат из огурцов с зеленым луком</t>
  </si>
  <si>
    <t>Капуста тушеная</t>
  </si>
  <si>
    <t>Икра кабачковая (промышленого производства)</t>
  </si>
  <si>
    <t>икра кабачковая</t>
  </si>
  <si>
    <t>Плов из отварной птицы</t>
  </si>
  <si>
    <t>Чай с лимоном</t>
  </si>
  <si>
    <t>Котлеты, биточки, шницели</t>
  </si>
  <si>
    <t>говядина( котлетное мясо)</t>
  </si>
  <si>
    <t>Пюре из гороха с пассерованным луком</t>
  </si>
  <si>
    <t>Суп картофельный с рыбой</t>
  </si>
  <si>
    <t>Печень говяжья по- строгановски</t>
  </si>
  <si>
    <t xml:space="preserve">Печень говяжья </t>
  </si>
  <si>
    <t>Сок фруктовый и ягодный</t>
  </si>
  <si>
    <t>сок мультифруктовый</t>
  </si>
  <si>
    <t>Энергетическая ценность, ккал</t>
  </si>
  <si>
    <t>Масло сливочное</t>
  </si>
  <si>
    <t>Молоко</t>
  </si>
  <si>
    <t>Кофейный напиток</t>
  </si>
  <si>
    <t>Сметана</t>
  </si>
  <si>
    <t>Масло растительное</t>
  </si>
  <si>
    <t>Мука пшеничная</t>
  </si>
  <si>
    <t>Макаронные изделия</t>
  </si>
  <si>
    <t>Апельсин</t>
  </si>
  <si>
    <t>Картофель</t>
  </si>
  <si>
    <t>Творог</t>
  </si>
  <si>
    <t>Суп с крупой</t>
  </si>
  <si>
    <t>День 10</t>
  </si>
  <si>
    <t>Химический состав за период (всего)</t>
  </si>
  <si>
    <t>№ п/п</t>
  </si>
  <si>
    <t>Прием пищи</t>
  </si>
  <si>
    <t>Белки, г</t>
  </si>
  <si>
    <t>Жиры, г</t>
  </si>
  <si>
    <t>Углеводы, г</t>
  </si>
  <si>
    <t>В1, мг</t>
  </si>
  <si>
    <t>C, мг</t>
  </si>
  <si>
    <t>A, мг</t>
  </si>
  <si>
    <t>E, мг</t>
  </si>
  <si>
    <t>Ca, мг</t>
  </si>
  <si>
    <t>P, мг</t>
  </si>
  <si>
    <t>Mg, мг</t>
  </si>
  <si>
    <t>Fe, мг</t>
  </si>
  <si>
    <t>ЗАВТРАК</t>
  </si>
  <si>
    <t>ОБЕД№1</t>
  </si>
  <si>
    <t>ОБЕД№2</t>
  </si>
  <si>
    <t>ПОЛДНИК</t>
  </si>
  <si>
    <t>Итого</t>
  </si>
  <si>
    <t>Химический состав за период (в среднем за день)</t>
  </si>
  <si>
    <t>Соль</t>
  </si>
  <si>
    <t>Дрожжи хлебопекарные</t>
  </si>
  <si>
    <t>Какао</t>
  </si>
  <si>
    <t>Чай</t>
  </si>
  <si>
    <t>Кондитерские изделия</t>
  </si>
  <si>
    <t>Сахар &lt;***&gt;</t>
  </si>
  <si>
    <t>Яйцо диетическое</t>
  </si>
  <si>
    <t>Сыр</t>
  </si>
  <si>
    <t>Кисломолочные продукты</t>
  </si>
  <si>
    <t>Колбасные изделия</t>
  </si>
  <si>
    <t>Рыба-филе</t>
  </si>
  <si>
    <t>Цыплята 1 категории</t>
  </si>
  <si>
    <t>Мясо жилованное</t>
  </si>
  <si>
    <t>Соки плодоовощные, напитки</t>
  </si>
  <si>
    <t>Фрукты (плоды) сухие, в т.ч. шиповник</t>
  </si>
  <si>
    <t>Фрукты (плоды) свежие</t>
  </si>
  <si>
    <t>Овощи свежие, зелень</t>
  </si>
  <si>
    <t>Крупы, бобовые</t>
  </si>
  <si>
    <t>Хлеб ржаной (ржано-пшеничный)</t>
  </si>
  <si>
    <t>Отклонение от нормы в % (+/-)</t>
  </si>
  <si>
    <t>В среднем за 1 день</t>
  </si>
  <si>
    <t>Фактически выдано продуктов в нетто по дням в качестве горячих завтраков (всего), г на одного человека/ количество питающихся</t>
  </si>
  <si>
    <t>Норма &lt;*&gt; продукта в граммах, г (нетто)</t>
  </si>
  <si>
    <t>Наименование группы продуктов</t>
  </si>
  <si>
    <t>N п/п</t>
  </si>
  <si>
    <t>7 - 10 лет</t>
  </si>
  <si>
    <t>Борщ с капустой и картофелем</t>
  </si>
  <si>
    <t>минтай</t>
  </si>
  <si>
    <t>филе куриное</t>
  </si>
  <si>
    <t>филе куры</t>
  </si>
  <si>
    <t>Булочка с корицей</t>
  </si>
  <si>
    <t>Круассан</t>
  </si>
  <si>
    <t>Салат из морковки</t>
  </si>
  <si>
    <t>колбаса</t>
  </si>
  <si>
    <t>Компот из вишни</t>
  </si>
  <si>
    <t>Салат из белокачанной капусты и огурцов</t>
  </si>
  <si>
    <t>огурцы свежие</t>
  </si>
  <si>
    <t>Фрутилад</t>
  </si>
  <si>
    <t>Компот  смородины черной</t>
  </si>
  <si>
    <t>Суп гороховый</t>
  </si>
  <si>
    <t>кета</t>
  </si>
  <si>
    <t>Пирожок с творогом</t>
  </si>
  <si>
    <t>Помидор в нарезке</t>
  </si>
  <si>
    <t>Компот из чернослива</t>
  </si>
  <si>
    <t>чернослив</t>
  </si>
  <si>
    <t>дрожжи</t>
  </si>
  <si>
    <t>корица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</si>
  <si>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</si>
  <si>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</si>
  <si>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</si>
  <si>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</si>
  <si>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</si>
  <si>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</si>
  <si>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</si>
  <si>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</si>
  <si>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</si>
  <si>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</si>
  <si>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</si>
  <si>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</si>
  <si>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</si>
  <si>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</si>
  <si>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</si>
  <si>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</si>
  <si>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Первая неделя</t>
  </si>
  <si>
    <t>Вторая неделя</t>
  </si>
  <si>
    <t>ВЕДОМОСТЬ КОНТРОЛЯ ЗА РАЦИОНОМ ПИТАНИЯ осенне-зимнее  меню школьники младшие(7-10 лет)</t>
  </si>
  <si>
    <t>Салат из моркови</t>
  </si>
  <si>
    <t>Компот из сухофруктов</t>
  </si>
  <si>
    <t>Хлеб ржаной (ржано-пшен.)</t>
  </si>
  <si>
    <t>Фрукты (сухие), шиповник</t>
  </si>
  <si>
    <t>Компот из апельсинов и яблок</t>
  </si>
  <si>
    <t>За 10 дней</t>
  </si>
  <si>
    <t>Бутерброд с колбасой</t>
  </si>
  <si>
    <t xml:space="preserve">сухари </t>
  </si>
  <si>
    <t>кукуруза (конс.)</t>
  </si>
  <si>
    <t>горошек зеленый (консер.)</t>
  </si>
  <si>
    <t>Салат из свежих помидоров и яблок</t>
  </si>
  <si>
    <t>помидоры свежие</t>
  </si>
  <si>
    <t xml:space="preserve">вишня </t>
  </si>
  <si>
    <t>крупа пшеничная</t>
  </si>
  <si>
    <t>Кнели рыбные</t>
  </si>
  <si>
    <t>Компот из яблок с лимоном</t>
  </si>
  <si>
    <t>Салат из свеклы с сыром</t>
  </si>
  <si>
    <t>сыр</t>
  </si>
  <si>
    <t xml:space="preserve">Птица отварная </t>
  </si>
  <si>
    <r>
      <rPr>
        <b/>
        <sz val="12"/>
        <color theme="1"/>
        <rFont val="Calibri"/>
        <family val="2"/>
        <charset val="204"/>
        <scheme val="minor"/>
      </rPr>
      <t>Хлеб пшеничный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</si>
  <si>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rPr>
        <b/>
        <sz val="12"/>
        <color theme="1"/>
        <rFont val="Calibri"/>
        <family val="2"/>
        <charset val="204"/>
        <scheme val="minor"/>
      </rPr>
      <t>Суп картофельный с макаронным изд</t>
    </r>
    <r>
      <rPr>
        <sz val="12"/>
        <color theme="1"/>
        <rFont val="Calibri"/>
        <family val="2"/>
        <charset val="204"/>
        <scheme val="minor"/>
      </rPr>
      <t>.</t>
    </r>
  </si>
  <si>
    <t>Бутерброды с колбасой</t>
  </si>
  <si>
    <t>ЗАВТРАК     08:55 - 10:30</t>
  </si>
  <si>
    <t>Обед №2      15:00 - 16:00</t>
  </si>
  <si>
    <t xml:space="preserve">ПОЛДНИК      </t>
  </si>
  <si>
    <t xml:space="preserve">ПОЛДНИК    </t>
  </si>
  <si>
    <t xml:space="preserve">ПОЛДНИК  </t>
  </si>
  <si>
    <t>ОБЕД №2    15:00 - 16:00</t>
  </si>
  <si>
    <t>Напиток брусничный</t>
  </si>
  <si>
    <t>Компот из изюма</t>
  </si>
  <si>
    <t>Компот из клубники</t>
  </si>
  <si>
    <t>ОБЕД №1      11:30 - 12:30</t>
  </si>
  <si>
    <t>ОБЕД №1    11:30 - 12:30</t>
  </si>
  <si>
    <t>ОБЕД №1   11:30 - 12:30</t>
  </si>
  <si>
    <t>Груша</t>
  </si>
  <si>
    <t>мандарин</t>
  </si>
  <si>
    <t>брусника</t>
  </si>
  <si>
    <t>клубника с/м</t>
  </si>
  <si>
    <t>Компот из груш</t>
  </si>
  <si>
    <t>груши</t>
  </si>
  <si>
    <t>компот из малины</t>
  </si>
  <si>
    <t>малина с/м</t>
  </si>
  <si>
    <t>Компот из апельсинов</t>
  </si>
  <si>
    <t>апельсины</t>
  </si>
  <si>
    <t>ЗАВТРАК         08:55 - 10:30</t>
  </si>
  <si>
    <t>Обед №1      11:30 - 12:30</t>
  </si>
  <si>
    <t>ОБЕД №1            11:30 - 12:30</t>
  </si>
  <si>
    <t>ОБЕД №2            15:00-16:00</t>
  </si>
  <si>
    <t>ЗАВТРАК     08:55 -10:30</t>
  </si>
  <si>
    <t>ОБЕД №2  15:00-16:00</t>
  </si>
  <si>
    <t>ЗАВТРАК     08:55-10:30</t>
  </si>
  <si>
    <t>ОБЕД №1   11:30-12:30</t>
  </si>
  <si>
    <t>ОБЕД №2    15:00-16:00</t>
  </si>
  <si>
    <t xml:space="preserve">ПОЛДНИК   </t>
  </si>
  <si>
    <t>ОБЕД №2         15:00-16:00</t>
  </si>
  <si>
    <t xml:space="preserve">ПОЛДНИК     </t>
  </si>
  <si>
    <t>ОБЕД №2      15:00-16:00</t>
  </si>
  <si>
    <t>ОБЕД №2   15:00-16:00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</si>
</sst>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  <font>
      <sz val="11"/>
      <color rgb="FF000000"/>
      <name val="Times New Roman"/>
      <family val="1"/>
      <charset val="204"/>
    </font>
    <font>
      <sz val="11"/>
      <name val="Arial Cyr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1" applyFont="1"/>
    <xf numFmtId="0" fontId="9" fillId="0" borderId="0" xfId="1" applyFont="1" applyAlignment="1">
      <alignment wrapText="1"/>
    </xf>
    <xf numFmtId="0" fontId="9" fillId="0" borderId="0" xfId="1" applyFont="1" applyAlignment="1">
      <alignment horizontal="center"/>
    </xf>
    <xf numFmtId="2" fontId="8" fillId="0" borderId="0" xfId="1" applyNumberFormat="1" applyFont="1" applyAlignment="1">
      <alignment horizontal="center"/>
    </xf>
    <xf numFmtId="0" fontId="7" fillId="0" borderId="0" xfId="1"/>
    <xf numFmtId="0" fontId="12" fillId="0" borderId="0" xfId="1" applyFont="1"/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12" fillId="0" borderId="15" xfId="1" applyFont="1" applyBorder="1"/>
    <xf numFmtId="0" fontId="12" fillId="0" borderId="16" xfId="1" applyFont="1" applyBorder="1"/>
    <xf numFmtId="0" fontId="12" fillId="0" borderId="17" xfId="1" applyFont="1" applyBorder="1"/>
    <xf numFmtId="0" fontId="12" fillId="0" borderId="16" xfId="1" applyFont="1" applyBorder="1" applyAlignment="1">
      <alignment horizontal="left" wrapText="1"/>
    </xf>
    <xf numFmtId="0" fontId="14" fillId="0" borderId="0" xfId="1" applyFont="1"/>
    <xf numFmtId="0" fontId="15" fillId="0" borderId="0" xfId="1" applyFont="1"/>
    <xf numFmtId="0" fontId="14" fillId="0" borderId="5" xfId="1" applyFont="1" applyBorder="1" applyAlignment="1">
      <alignment horizontal="center"/>
    </xf>
    <xf numFmtId="0" fontId="14" fillId="0" borderId="2" xfId="1" applyFont="1" applyBorder="1" applyAlignment="1">
      <alignment horizontal="center" wrapText="1"/>
    </xf>
    <xf numFmtId="0" fontId="14" fillId="0" borderId="2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 wrapText="1"/>
    </xf>
    <xf numFmtId="0" fontId="14" fillId="0" borderId="2" xfId="1" applyFont="1" applyFill="1" applyBorder="1" applyAlignment="1">
      <alignment horizontal="center"/>
    </xf>
    <xf numFmtId="0" fontId="14" fillId="0" borderId="3" xfId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18" xfId="1" applyFont="1" applyBorder="1" applyAlignment="1">
      <alignment horizontal="center"/>
    </xf>
    <xf numFmtId="0" fontId="14" fillId="0" borderId="9" xfId="1" applyFont="1" applyBorder="1" applyAlignment="1">
      <alignment horizontal="center" wrapText="1"/>
    </xf>
    <xf numFmtId="0" fontId="14" fillId="0" borderId="9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6" fillId="0" borderId="2" xfId="1" applyFont="1" applyBorder="1" applyAlignment="1">
      <alignment horizontal="center" wrapText="1"/>
    </xf>
    <xf numFmtId="0" fontId="16" fillId="0" borderId="2" xfId="1" applyFont="1" applyBorder="1" applyAlignment="1">
      <alignment horizontal="center"/>
    </xf>
    <xf numFmtId="0" fontId="16" fillId="0" borderId="2" xfId="1" applyFont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6" fillId="0" borderId="9" xfId="1" applyFont="1" applyBorder="1" applyAlignment="1">
      <alignment horizontal="left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2" fontId="2" fillId="0" borderId="2" xfId="0" applyNumberFormat="1" applyFont="1" applyBorder="1" applyAlignment="1">
      <alignment wrapText="1"/>
    </xf>
    <xf numFmtId="2" fontId="17" fillId="0" borderId="2" xfId="0" applyNumberFormat="1" applyFont="1" applyBorder="1" applyAlignment="1">
      <alignment wrapText="1"/>
    </xf>
    <xf numFmtId="0" fontId="10" fillId="0" borderId="7" xfId="1" applyFont="1" applyBorder="1" applyAlignment="1">
      <alignment horizontal="center" vertical="center" wrapText="1"/>
    </xf>
    <xf numFmtId="2" fontId="10" fillId="0" borderId="2" xfId="1" applyNumberFormat="1" applyFont="1" applyBorder="1" applyAlignment="1">
      <alignment horizontal="center" vertical="center" wrapText="1"/>
    </xf>
    <xf numFmtId="2" fontId="10" fillId="0" borderId="6" xfId="1" applyNumberFormat="1" applyFont="1" applyBorder="1" applyAlignment="1">
      <alignment horizontal="center" vertical="center" wrapText="1"/>
    </xf>
    <xf numFmtId="0" fontId="11" fillId="0" borderId="7" xfId="1" applyFont="1" applyBorder="1"/>
    <xf numFmtId="2" fontId="11" fillId="0" borderId="2" xfId="1" applyNumberFormat="1" applyFont="1" applyBorder="1" applyAlignment="1">
      <alignment horizontal="center"/>
    </xf>
    <xf numFmtId="0" fontId="10" fillId="0" borderId="11" xfId="1" applyFont="1" applyBorder="1"/>
    <xf numFmtId="2" fontId="10" fillId="0" borderId="12" xfId="1" applyNumberFormat="1" applyFont="1" applyBorder="1" applyAlignment="1">
      <alignment horizontal="center"/>
    </xf>
    <xf numFmtId="0" fontId="11" fillId="0" borderId="2" xfId="1" applyFont="1" applyBorder="1" applyAlignment="1">
      <alignment wrapText="1"/>
    </xf>
    <xf numFmtId="0" fontId="10" fillId="0" borderId="12" xfId="1" applyFont="1" applyBorder="1"/>
    <xf numFmtId="0" fontId="10" fillId="0" borderId="1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9" xfId="1" applyFont="1" applyBorder="1" applyAlignment="1">
      <alignment horizontal="center" wrapText="1"/>
    </xf>
    <xf numFmtId="0" fontId="16" fillId="0" borderId="3" xfId="1" applyFont="1" applyBorder="1" applyAlignment="1">
      <alignment horizontal="center" wrapText="1"/>
    </xf>
    <xf numFmtId="0" fontId="16" fillId="0" borderId="4" xfId="1" applyFont="1" applyBorder="1" applyAlignment="1">
      <alignment horizontal="center" wrapText="1"/>
    </xf>
    <xf numFmtId="0" fontId="16" fillId="0" borderId="5" xfId="1" applyFont="1" applyBorder="1" applyAlignment="1">
      <alignment horizont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wrapText="1"/>
    </xf>
    <xf numFmtId="0" fontId="16" fillId="0" borderId="16" xfId="1" applyFont="1" applyBorder="1" applyAlignment="1">
      <alignment horizontal="center" wrapText="1"/>
    </xf>
    <xf numFmtId="0" fontId="16" fillId="0" borderId="9" xfId="1" applyFont="1" applyBorder="1" applyAlignment="1">
      <alignment horizontal="left" wrapText="1"/>
    </xf>
    <xf numFmtId="0" fontId="16" fillId="0" borderId="8" xfId="1" applyFont="1" applyBorder="1" applyAlignment="1">
      <alignment horizontal="left" wrapText="1"/>
    </xf>
    <xf numFmtId="0" fontId="16" fillId="0" borderId="16" xfId="1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44156</xdr:colOff>
      <xdr:row>1</xdr:row>
      <xdr:rowOff>4771826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97906" cy="77758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Таблица4" displayName="Таблица4" ref="A5:P61" totalsRowShown="0" headerRowDxfId="19" dataDxfId="17" headerRowBorderDxfId="18" tableBorderDxfId="16" headerRowCellStyle="Обычный 2" dataCellStyle="Обычный 2">
  <autoFilter ref="A5:P61"/>
  <tableColumns count="16">
    <tableColumn id="1" name="Столбец1" dataDxfId="15" dataCellStyle="Обычный 2"/>
    <tableColumn id="2" name="Столбец2" dataDxfId="14" dataCellStyle="Обычный 2"/>
    <tableColumn id="3" name="Столбец3" dataDxfId="13" dataCellStyle="Обычный 2"/>
    <tableColumn id="4" name="Столбец4" dataDxfId="12" dataCellStyle="Обычный 2"/>
    <tableColumn id="5" name="Столбец5" dataDxfId="11" dataCellStyle="Обычный 2"/>
    <tableColumn id="6" name="Столбец6" dataDxfId="10" dataCellStyle="Обычный 2"/>
    <tableColumn id="7" name="Столбец7" dataDxfId="9" dataCellStyle="Обычный 2"/>
    <tableColumn id="8" name="Столбец8" dataDxfId="8" dataCellStyle="Обычный 2"/>
    <tableColumn id="9" name="Столбец9" dataDxfId="7" dataCellStyle="Обычный 2"/>
    <tableColumn id="10" name="Столбец10" dataDxfId="6" dataCellStyle="Обычный 2"/>
    <tableColumn id="11" name="Столбец11" dataDxfId="5" dataCellStyle="Обычный 2"/>
    <tableColumn id="12" name="Столбец12" dataDxfId="4" dataCellStyle="Обычный 2"/>
    <tableColumn id="13" name="Столбец13" dataDxfId="3" dataCellStyle="Обычный 2"/>
    <tableColumn id="14" name="Столбец14" dataDxfId="2" dataCellStyle="Обычный 2"/>
    <tableColumn id="15" name="Столбец15" dataDxfId="1" dataCellStyle="Обычный 2"/>
    <tableColumn id="16" name="Столбец16" dataDxfId="0" dataCellStyle="Обычный 2">
      <calculatedColumnFormula>O6-C6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597"/>
  <sheetViews>
    <sheetView tabSelected="1" zoomScale="78" zoomScaleNormal="78" workbookViewId="0"/>
  </sheetViews>
  <sheetFormatPr defaultRowHeight="12.75" x14ac:dyDescent="0.2"/>
  <cols>
    <col min="1" max="1" width="6.140625" style="3" customWidth="1"/>
    <col min="2" max="2" width="33.28515625" style="3" customWidth="1"/>
    <col min="3" max="3" width="13.140625" style="3" bestFit="1" customWidth="1"/>
    <col min="4" max="4" width="9.140625" style="3" customWidth="1"/>
    <col min="5" max="5" width="8.85546875" style="3" customWidth="1"/>
    <col min="6" max="6" width="9.85546875" style="3" customWidth="1"/>
    <col min="7" max="7" width="13.140625" style="3" bestFit="1" customWidth="1"/>
    <col min="8" max="8" width="7" style="3" customWidth="1"/>
    <col min="9" max="9" width="8.28515625" style="3" customWidth="1"/>
    <col min="10" max="10" width="9.42578125" style="3" customWidth="1"/>
    <col min="11" max="11" width="8" style="3" customWidth="1"/>
    <col min="12" max="12" width="10.140625" style="3" customWidth="1"/>
    <col min="13" max="13" width="10.42578125" style="3" customWidth="1"/>
    <col min="14" max="14" width="9.42578125" style="3" customWidth="1"/>
    <col min="15" max="15" width="8.140625" style="3" customWidth="1"/>
    <col min="16" max="16384" width="9.140625" style="3"/>
  </cols>
  <sheetData>
    <row r="1" spans="1:15" s="8" customFormat="1" ht="237" customHeight="1" x14ac:dyDescent="0.25">
      <c r="B1" s="9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8" customFormat="1" ht="405.75" customHeight="1" x14ac:dyDescent="0.25"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.75" x14ac:dyDescent="0.3">
      <c r="A3" s="66" t="s">
        <v>18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5" spans="1:15" ht="18" x14ac:dyDescent="0.25">
      <c r="A5" s="1" t="s">
        <v>20</v>
      </c>
    </row>
    <row r="7" spans="1:15" ht="15.75" x14ac:dyDescent="0.25">
      <c r="A7" s="2" t="s">
        <v>19</v>
      </c>
      <c r="B7" s="4"/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</row>
    <row r="8" spans="1:15" ht="28.5" customHeight="1" x14ac:dyDescent="0.2">
      <c r="A8" s="62" t="s">
        <v>17</v>
      </c>
      <c r="B8" s="61" t="s">
        <v>0</v>
      </c>
      <c r="C8" s="61" t="s">
        <v>1</v>
      </c>
      <c r="D8" s="63" t="s">
        <v>9</v>
      </c>
      <c r="E8" s="64"/>
      <c r="F8" s="65"/>
      <c r="G8" s="61" t="s">
        <v>10</v>
      </c>
      <c r="H8" s="61" t="s">
        <v>7</v>
      </c>
      <c r="I8" s="61"/>
      <c r="J8" s="61"/>
      <c r="K8" s="61"/>
      <c r="L8" s="61" t="s">
        <v>8</v>
      </c>
      <c r="M8" s="61"/>
      <c r="N8" s="61"/>
      <c r="O8" s="61"/>
    </row>
    <row r="9" spans="1:15" ht="29.25" customHeight="1" x14ac:dyDescent="0.2">
      <c r="A9" s="62"/>
      <c r="B9" s="61"/>
      <c r="C9" s="61"/>
      <c r="D9" s="41" t="s">
        <v>2</v>
      </c>
      <c r="E9" s="42" t="s">
        <v>3</v>
      </c>
      <c r="F9" s="42" t="s">
        <v>4</v>
      </c>
      <c r="G9" s="61"/>
      <c r="H9" s="42" t="s">
        <v>11</v>
      </c>
      <c r="I9" s="42" t="s">
        <v>12</v>
      </c>
      <c r="J9" s="42" t="s">
        <v>13</v>
      </c>
      <c r="K9" s="42" t="s">
        <v>5</v>
      </c>
      <c r="L9" s="43" t="s">
        <v>14</v>
      </c>
      <c r="M9" s="42" t="s">
        <v>15</v>
      </c>
      <c r="N9" s="42" t="s">
        <v>6</v>
      </c>
      <c r="O9" s="42" t="s">
        <v>16</v>
      </c>
    </row>
    <row r="10" spans="1:15" s="7" customFormat="1" ht="15.75" x14ac:dyDescent="0.25">
      <c r="A10" s="44"/>
      <c r="B10" s="44" t="s">
        <v>366</v>
      </c>
      <c r="C10" s="44"/>
      <c r="D10" s="44">
        <f>7.16+5.2+3.2+3.04+2.64</f>
        <v>21.24</v>
      </c>
      <c r="E10" s="44">
        <f>9.4+7.8+2.7+0.32+0.48</f>
        <v>20.7</v>
      </c>
      <c r="F10" s="44">
        <f>28.8+7.4+15.9+19.68+13.36</f>
        <v>85.14</v>
      </c>
      <c r="G10" s="44">
        <f>228.4+121+79+94+69.6</f>
        <v>592</v>
      </c>
      <c r="H10" s="44">
        <f>0.16+0.02+0.04+0.04+0.07</f>
        <v>0.33</v>
      </c>
      <c r="I10" s="44">
        <f>1.54+0.1+1.3</f>
        <v>2.9400000000000004</v>
      </c>
      <c r="J10" s="44">
        <f>0.06+52.3+0.02</f>
        <v>52.38</v>
      </c>
      <c r="K10" s="44">
        <f>0.54+0.28+0.44+0.56</f>
        <v>1.82</v>
      </c>
      <c r="L10" s="44">
        <f>156.8+157.8+126+8+14</f>
        <v>462.6</v>
      </c>
      <c r="M10" s="44">
        <f>206+103.4+90+26+63.2</f>
        <v>488.59999999999997</v>
      </c>
      <c r="N10" s="44">
        <f>55.6+10.5+14+5.6+18.8</f>
        <v>104.49999999999999</v>
      </c>
      <c r="O10" s="44">
        <f>1.24+0.28+0.1+0.44+1.56</f>
        <v>3.62</v>
      </c>
    </row>
    <row r="11" spans="1:15" ht="31.5" x14ac:dyDescent="0.25">
      <c r="A11" s="45">
        <v>232</v>
      </c>
      <c r="B11" s="44" t="s">
        <v>21</v>
      </c>
      <c r="C11" s="45">
        <v>200</v>
      </c>
      <c r="D11" s="45">
        <v>7.16</v>
      </c>
      <c r="E11" s="45">
        <v>9.4</v>
      </c>
      <c r="F11" s="45">
        <v>28.8</v>
      </c>
      <c r="G11" s="45">
        <v>228.4</v>
      </c>
      <c r="H11" s="45">
        <v>0.16</v>
      </c>
      <c r="I11" s="45">
        <v>1.54</v>
      </c>
      <c r="J11" s="45">
        <v>0.06</v>
      </c>
      <c r="K11" s="45">
        <v>0.54</v>
      </c>
      <c r="L11" s="45">
        <v>156.80000000000001</v>
      </c>
      <c r="M11" s="45">
        <v>206</v>
      </c>
      <c r="N11" s="45">
        <v>55.6</v>
      </c>
      <c r="O11" s="45">
        <v>1.24</v>
      </c>
    </row>
    <row r="12" spans="1:15" ht="15.75" x14ac:dyDescent="0.25">
      <c r="A12" s="45"/>
      <c r="B12" s="45" t="s">
        <v>22</v>
      </c>
      <c r="C12" s="45">
        <v>5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ht="15.75" x14ac:dyDescent="0.25">
      <c r="A13" s="45"/>
      <c r="B13" s="45" t="s">
        <v>23</v>
      </c>
      <c r="C13" s="45">
        <v>5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5.75" x14ac:dyDescent="0.25">
      <c r="A14" s="45"/>
      <c r="B14" s="45" t="s">
        <v>24</v>
      </c>
      <c r="C14" s="45">
        <v>25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5.75" x14ac:dyDescent="0.25">
      <c r="A15" s="45"/>
      <c r="B15" s="45" t="s">
        <v>25</v>
      </c>
      <c r="C15" s="45">
        <v>118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15.75" x14ac:dyDescent="0.25">
      <c r="A16" s="45">
        <v>64</v>
      </c>
      <c r="B16" s="44" t="s">
        <v>26</v>
      </c>
      <c r="C16" s="45">
        <v>35</v>
      </c>
      <c r="D16" s="45">
        <v>5.2</v>
      </c>
      <c r="E16" s="45">
        <v>7.8</v>
      </c>
      <c r="F16" s="45">
        <v>7.4</v>
      </c>
      <c r="G16" s="45">
        <v>121</v>
      </c>
      <c r="H16" s="45">
        <v>0.02</v>
      </c>
      <c r="I16" s="45">
        <v>0.1</v>
      </c>
      <c r="J16" s="45">
        <v>52.3</v>
      </c>
      <c r="K16" s="45">
        <v>0.28000000000000003</v>
      </c>
      <c r="L16" s="45">
        <v>157.80000000000001</v>
      </c>
      <c r="M16" s="45">
        <v>103.4</v>
      </c>
      <c r="N16" s="45">
        <v>10.5</v>
      </c>
      <c r="O16" s="45">
        <v>0.28000000000000003</v>
      </c>
    </row>
    <row r="17" spans="1:15" ht="15.75" x14ac:dyDescent="0.25">
      <c r="A17" s="45"/>
      <c r="B17" s="45" t="s">
        <v>339</v>
      </c>
      <c r="C17" s="45">
        <v>15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5.75" x14ac:dyDescent="0.25">
      <c r="A18" s="45"/>
      <c r="B18" s="45" t="s">
        <v>23</v>
      </c>
      <c r="C18" s="45">
        <v>5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ht="15.75" x14ac:dyDescent="0.25">
      <c r="A19" s="45"/>
      <c r="B19" s="45" t="s">
        <v>27</v>
      </c>
      <c r="C19" s="45">
        <v>15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5.75" x14ac:dyDescent="0.25">
      <c r="A20" s="45">
        <v>465</v>
      </c>
      <c r="B20" s="44" t="s">
        <v>28</v>
      </c>
      <c r="C20" s="45">
        <v>200</v>
      </c>
      <c r="D20" s="45">
        <v>3.2</v>
      </c>
      <c r="E20" s="45">
        <v>2.7</v>
      </c>
      <c r="F20" s="45">
        <v>15.9</v>
      </c>
      <c r="G20" s="45">
        <v>79</v>
      </c>
      <c r="H20" s="45">
        <v>0.04</v>
      </c>
      <c r="I20" s="45">
        <v>1.3</v>
      </c>
      <c r="J20" s="45">
        <v>0.02</v>
      </c>
      <c r="K20" s="45">
        <v>0</v>
      </c>
      <c r="L20" s="45">
        <v>126</v>
      </c>
      <c r="M20" s="45">
        <v>90</v>
      </c>
      <c r="N20" s="45">
        <v>14</v>
      </c>
      <c r="O20" s="45">
        <v>0.1</v>
      </c>
    </row>
    <row r="21" spans="1:15" ht="15.75" x14ac:dyDescent="0.25">
      <c r="A21" s="45"/>
      <c r="B21" s="45" t="s">
        <v>22</v>
      </c>
      <c r="C21" s="45">
        <v>10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5.75" x14ac:dyDescent="0.25">
      <c r="A22" s="45"/>
      <c r="B22" s="45" t="s">
        <v>29</v>
      </c>
      <c r="C22" s="45">
        <v>2.4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5.75" x14ac:dyDescent="0.25">
      <c r="A23" s="45"/>
      <c r="B23" s="45" t="s">
        <v>25</v>
      </c>
      <c r="C23" s="45">
        <v>100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5.75" x14ac:dyDescent="0.25">
      <c r="A24" s="45"/>
      <c r="B24" s="44" t="s">
        <v>27</v>
      </c>
      <c r="C24" s="45">
        <v>40</v>
      </c>
      <c r="D24" s="45">
        <v>3.04</v>
      </c>
      <c r="E24" s="45">
        <v>0.32</v>
      </c>
      <c r="F24" s="45">
        <v>19.68</v>
      </c>
      <c r="G24" s="45">
        <v>94</v>
      </c>
      <c r="H24" s="45">
        <v>0.04</v>
      </c>
      <c r="I24" s="45">
        <v>0</v>
      </c>
      <c r="J24" s="45">
        <v>0</v>
      </c>
      <c r="K24" s="45">
        <v>0.44</v>
      </c>
      <c r="L24" s="45">
        <v>8</v>
      </c>
      <c r="M24" s="45">
        <v>26</v>
      </c>
      <c r="N24" s="45">
        <v>5.6</v>
      </c>
      <c r="O24" s="45">
        <v>0.44</v>
      </c>
    </row>
    <row r="25" spans="1:15" ht="15.75" x14ac:dyDescent="0.25">
      <c r="A25" s="45"/>
      <c r="B25" s="44" t="s">
        <v>30</v>
      </c>
      <c r="C25" s="45">
        <v>30</v>
      </c>
      <c r="D25" s="45">
        <v>2.64</v>
      </c>
      <c r="E25" s="45">
        <v>0.48</v>
      </c>
      <c r="F25" s="45">
        <v>13.36</v>
      </c>
      <c r="G25" s="45">
        <v>69.599999999999994</v>
      </c>
      <c r="H25" s="45">
        <v>7.0000000000000007E-2</v>
      </c>
      <c r="I25" s="45">
        <v>0</v>
      </c>
      <c r="J25" s="45">
        <v>0</v>
      </c>
      <c r="K25" s="45">
        <v>0.56000000000000005</v>
      </c>
      <c r="L25" s="45">
        <v>14</v>
      </c>
      <c r="M25" s="45">
        <v>63.2</v>
      </c>
      <c r="N25" s="45">
        <v>18.8</v>
      </c>
      <c r="O25" s="45">
        <v>1.56</v>
      </c>
    </row>
    <row r="26" spans="1:15" ht="15.75" x14ac:dyDescent="0.25">
      <c r="A26" s="45">
        <v>82</v>
      </c>
      <c r="B26" s="44" t="s">
        <v>145</v>
      </c>
      <c r="C26" s="45">
        <v>150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5" s="7" customFormat="1" ht="15.75" x14ac:dyDescent="0.25">
      <c r="A27" s="44"/>
      <c r="B27" s="44" t="s">
        <v>367</v>
      </c>
      <c r="C27" s="44"/>
      <c r="D27" s="44">
        <f>0.8+3.77+13.45+0.93+8.55+0.5+2.64+3.04</f>
        <v>33.68</v>
      </c>
      <c r="E27" s="44">
        <f t="shared" ref="E27:O27" si="0">E28+E29+E40+E46+E54+E57+E61+E62</f>
        <v>33.052</v>
      </c>
      <c r="F27" s="44">
        <f t="shared" si="0"/>
        <v>116.32999999999998</v>
      </c>
      <c r="G27" s="44">
        <f t="shared" si="0"/>
        <v>895.16</v>
      </c>
      <c r="H27" s="44">
        <f t="shared" si="0"/>
        <v>0.44466666666666665</v>
      </c>
      <c r="I27" s="44">
        <f t="shared" si="0"/>
        <v>32.35</v>
      </c>
      <c r="J27" s="44">
        <f t="shared" si="0"/>
        <v>80.72</v>
      </c>
      <c r="K27" s="44">
        <f t="shared" si="0"/>
        <v>2.36</v>
      </c>
      <c r="L27" s="44">
        <f t="shared" si="0"/>
        <v>159.53</v>
      </c>
      <c r="M27" s="44">
        <f t="shared" si="0"/>
        <v>482.68799999999993</v>
      </c>
      <c r="N27" s="44">
        <f t="shared" si="0"/>
        <v>217.07000000000002</v>
      </c>
      <c r="O27" s="44">
        <f t="shared" si="0"/>
        <v>10.754</v>
      </c>
    </row>
    <row r="28" spans="1:15" ht="15.75" x14ac:dyDescent="0.25">
      <c r="A28" s="45">
        <v>148</v>
      </c>
      <c r="B28" s="44" t="s">
        <v>32</v>
      </c>
      <c r="C28" s="45">
        <v>60</v>
      </c>
      <c r="D28" s="45">
        <v>0.8</v>
      </c>
      <c r="E28" s="45">
        <v>0.1</v>
      </c>
      <c r="F28" s="45">
        <v>2.5</v>
      </c>
      <c r="G28" s="45">
        <v>14</v>
      </c>
      <c r="H28" s="45">
        <v>0.03</v>
      </c>
      <c r="I28" s="45">
        <v>10</v>
      </c>
      <c r="J28" s="45">
        <v>0</v>
      </c>
      <c r="K28" s="45">
        <v>0.1</v>
      </c>
      <c r="L28" s="45">
        <v>23</v>
      </c>
      <c r="M28" s="45">
        <v>42</v>
      </c>
      <c r="N28" s="45">
        <v>14</v>
      </c>
      <c r="O28" s="45">
        <v>0.6</v>
      </c>
    </row>
    <row r="29" spans="1:15" ht="31.5" x14ac:dyDescent="0.25">
      <c r="A29" s="45">
        <v>95</v>
      </c>
      <c r="B29" s="44" t="s">
        <v>282</v>
      </c>
      <c r="C29" s="45">
        <v>250</v>
      </c>
      <c r="D29" s="45">
        <v>3.77</v>
      </c>
      <c r="E29" s="45">
        <v>6.35</v>
      </c>
      <c r="F29" s="45">
        <v>9.67</v>
      </c>
      <c r="G29" s="45">
        <v>109.72</v>
      </c>
      <c r="H29" s="45">
        <v>0.03</v>
      </c>
      <c r="I29" s="45">
        <v>19.93</v>
      </c>
      <c r="J29" s="45">
        <v>0</v>
      </c>
      <c r="K29" s="45">
        <v>0.1</v>
      </c>
      <c r="L29" s="45">
        <v>47.75</v>
      </c>
      <c r="M29" s="45">
        <v>34.130000000000003</v>
      </c>
      <c r="N29" s="45">
        <v>15.55</v>
      </c>
      <c r="O29" s="45">
        <v>0.93</v>
      </c>
    </row>
    <row r="30" spans="1:15" ht="15.75" x14ac:dyDescent="0.25">
      <c r="A30" s="45"/>
      <c r="B30" s="45" t="s">
        <v>33</v>
      </c>
      <c r="C30" s="45">
        <v>40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5" ht="15.75" x14ac:dyDescent="0.25">
      <c r="A31" s="45"/>
      <c r="B31" s="45" t="s">
        <v>34</v>
      </c>
      <c r="C31" s="45">
        <v>7.5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5.75" x14ac:dyDescent="0.25">
      <c r="A32" s="45"/>
      <c r="B32" s="45" t="s">
        <v>22</v>
      </c>
      <c r="C32" s="45">
        <v>2.5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5.75" x14ac:dyDescent="0.25">
      <c r="A33" s="45"/>
      <c r="B33" s="45" t="s">
        <v>35</v>
      </c>
      <c r="C33" s="45">
        <v>12.5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5.75" x14ac:dyDescent="0.25">
      <c r="A34" s="45"/>
      <c r="B34" s="45" t="s">
        <v>36</v>
      </c>
      <c r="C34" s="45">
        <v>10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5.75" x14ac:dyDescent="0.25">
      <c r="A35" s="45"/>
      <c r="B35" s="45" t="s">
        <v>37</v>
      </c>
      <c r="C35" s="45">
        <v>12.2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5.75" x14ac:dyDescent="0.25">
      <c r="A36" s="45"/>
      <c r="B36" s="45" t="s">
        <v>38</v>
      </c>
      <c r="C36" s="45">
        <v>20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5.75" x14ac:dyDescent="0.25">
      <c r="A37" s="45"/>
      <c r="B37" s="45" t="s">
        <v>41</v>
      </c>
      <c r="C37" s="45">
        <v>5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5.75" x14ac:dyDescent="0.25">
      <c r="A38" s="45"/>
      <c r="B38" s="45" t="s">
        <v>77</v>
      </c>
      <c r="C38" s="45">
        <v>20.05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5.75" x14ac:dyDescent="0.25">
      <c r="A39" s="45"/>
      <c r="B39" s="45" t="s">
        <v>42</v>
      </c>
      <c r="C39" s="45">
        <v>3.75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5.75" x14ac:dyDescent="0.25">
      <c r="A40" s="45">
        <v>371</v>
      </c>
      <c r="B40" s="44" t="s">
        <v>43</v>
      </c>
      <c r="C40" s="45">
        <v>80</v>
      </c>
      <c r="D40" s="45">
        <v>13.45</v>
      </c>
      <c r="E40" s="45">
        <v>15.39</v>
      </c>
      <c r="F40" s="45">
        <v>5.35</v>
      </c>
      <c r="G40" s="45">
        <v>213.18</v>
      </c>
      <c r="H40" s="45">
        <v>0.06</v>
      </c>
      <c r="I40" s="45">
        <v>1.3</v>
      </c>
      <c r="J40" s="45">
        <v>67.37</v>
      </c>
      <c r="K40" s="45">
        <v>0.45</v>
      </c>
      <c r="L40" s="45">
        <v>20.399999999999999</v>
      </c>
      <c r="M40" s="45">
        <v>88.007999999999996</v>
      </c>
      <c r="N40" s="45">
        <v>17.440000000000001</v>
      </c>
      <c r="O40" s="45">
        <v>1.17</v>
      </c>
    </row>
    <row r="41" spans="1:15" ht="15.75" x14ac:dyDescent="0.25">
      <c r="A41" s="45"/>
      <c r="B41" s="45" t="s">
        <v>44</v>
      </c>
      <c r="C41" s="45">
        <v>7.41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15.75" x14ac:dyDescent="0.25">
      <c r="A42" s="45"/>
      <c r="B42" s="45" t="s">
        <v>285</v>
      </c>
      <c r="C42" s="45">
        <v>76.38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15.75" x14ac:dyDescent="0.25">
      <c r="A43" s="45"/>
      <c r="B43" s="45" t="s">
        <v>47</v>
      </c>
      <c r="C43" s="45">
        <v>0.34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5" ht="15.75" x14ac:dyDescent="0.25">
      <c r="A44" s="45"/>
      <c r="B44" s="45" t="s">
        <v>25</v>
      </c>
      <c r="C44" s="45">
        <v>8.5500000000000007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ht="15.75" x14ac:dyDescent="0.25">
      <c r="A45" s="45"/>
      <c r="B45" s="45" t="s">
        <v>23</v>
      </c>
      <c r="C45" s="45">
        <v>3.19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5.75" x14ac:dyDescent="0.25">
      <c r="A46" s="45">
        <v>420</v>
      </c>
      <c r="B46" s="44" t="s">
        <v>45</v>
      </c>
      <c r="C46" s="45">
        <v>35</v>
      </c>
      <c r="D46" s="45">
        <f>0.93/75*35</f>
        <v>0.43400000000000005</v>
      </c>
      <c r="E46" s="45">
        <f>5.49/75*35</f>
        <v>2.5619999999999998</v>
      </c>
      <c r="F46" s="45">
        <v>1.69</v>
      </c>
      <c r="G46" s="45">
        <v>31.61</v>
      </c>
      <c r="H46" s="45">
        <f>0.01/75*35</f>
        <v>4.6666666666666671E-3</v>
      </c>
      <c r="I46" s="45">
        <v>0.62</v>
      </c>
      <c r="J46" s="45">
        <f>28.5/75*35</f>
        <v>13.3</v>
      </c>
      <c r="K46" s="45">
        <v>0.09</v>
      </c>
      <c r="L46" s="45">
        <f>8.85/75*35</f>
        <v>4.13</v>
      </c>
      <c r="M46" s="45">
        <v>7.7</v>
      </c>
      <c r="N46" s="45">
        <v>3.38</v>
      </c>
      <c r="O46" s="45">
        <v>4.0000000000000001E-3</v>
      </c>
    </row>
    <row r="47" spans="1:15" ht="15.75" x14ac:dyDescent="0.25">
      <c r="A47" s="45"/>
      <c r="B47" s="45" t="s">
        <v>36</v>
      </c>
      <c r="C47" s="45">
        <v>1.4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ht="15.75" x14ac:dyDescent="0.25">
      <c r="A48" s="45"/>
      <c r="B48" s="45" t="s">
        <v>37</v>
      </c>
      <c r="C48" s="45">
        <v>1.36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ht="15.75" x14ac:dyDescent="0.25">
      <c r="A49" s="45"/>
      <c r="B49" s="45" t="s">
        <v>23</v>
      </c>
      <c r="C49" s="45">
        <v>4.0999999999999996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ht="15.75" x14ac:dyDescent="0.25">
      <c r="A50" s="45"/>
      <c r="B50" s="45" t="s">
        <v>46</v>
      </c>
      <c r="C50" s="45">
        <f>3.75/75*35</f>
        <v>1.75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5.75" x14ac:dyDescent="0.25">
      <c r="A51" s="45"/>
      <c r="B51" s="45" t="s">
        <v>34</v>
      </c>
      <c r="C51" s="45">
        <f>11.25/75*35</f>
        <v>5.25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5.75" x14ac:dyDescent="0.25">
      <c r="A52" s="45"/>
      <c r="B52" s="45" t="s">
        <v>22</v>
      </c>
      <c r="C52" s="45">
        <f>1.35/75*35</f>
        <v>0.63000000000000012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1:15" ht="15.75" x14ac:dyDescent="0.25">
      <c r="A53" s="45"/>
      <c r="B53" s="45" t="s">
        <v>47</v>
      </c>
      <c r="C53" s="45">
        <f>0.75/75*35</f>
        <v>0.35000000000000003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15.75" x14ac:dyDescent="0.25">
      <c r="A54" s="45">
        <v>202</v>
      </c>
      <c r="B54" s="44" t="s">
        <v>48</v>
      </c>
      <c r="C54" s="45">
        <v>150</v>
      </c>
      <c r="D54" s="45">
        <v>8.5500000000000007</v>
      </c>
      <c r="E54" s="45">
        <v>7.85</v>
      </c>
      <c r="F54" s="45">
        <v>37.08</v>
      </c>
      <c r="G54" s="45">
        <v>253.05</v>
      </c>
      <c r="H54" s="45">
        <v>0.21</v>
      </c>
      <c r="I54" s="45">
        <v>0</v>
      </c>
      <c r="J54" s="45">
        <v>0.05</v>
      </c>
      <c r="K54" s="45">
        <v>0.62</v>
      </c>
      <c r="L54" s="45">
        <v>14.25</v>
      </c>
      <c r="M54" s="45">
        <v>202.65</v>
      </c>
      <c r="N54" s="45">
        <v>135.30000000000001</v>
      </c>
      <c r="O54" s="45">
        <v>4.55</v>
      </c>
    </row>
    <row r="55" spans="1:15" ht="15.75" x14ac:dyDescent="0.25">
      <c r="A55" s="45"/>
      <c r="B55" s="45" t="s">
        <v>23</v>
      </c>
      <c r="C55" s="45">
        <v>6.6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1:15" ht="15.75" x14ac:dyDescent="0.25">
      <c r="A56" s="45"/>
      <c r="B56" s="45" t="s">
        <v>49</v>
      </c>
      <c r="C56" s="45">
        <v>50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1:15" ht="15.75" x14ac:dyDescent="0.25">
      <c r="A57" s="45">
        <v>495</v>
      </c>
      <c r="B57" s="44" t="s">
        <v>50</v>
      </c>
      <c r="C57" s="45">
        <v>200</v>
      </c>
      <c r="D57" s="45">
        <v>0.5</v>
      </c>
      <c r="E57" s="45">
        <v>0</v>
      </c>
      <c r="F57" s="45">
        <v>27</v>
      </c>
      <c r="G57" s="45">
        <v>110</v>
      </c>
      <c r="H57" s="45">
        <v>0</v>
      </c>
      <c r="I57" s="45">
        <v>0.5</v>
      </c>
      <c r="J57" s="45">
        <v>0</v>
      </c>
      <c r="K57" s="45">
        <v>0</v>
      </c>
      <c r="L57" s="45">
        <v>28</v>
      </c>
      <c r="M57" s="45">
        <v>19</v>
      </c>
      <c r="N57" s="45">
        <v>7</v>
      </c>
      <c r="O57" s="45">
        <v>1.5</v>
      </c>
    </row>
    <row r="58" spans="1:15" ht="15.75" x14ac:dyDescent="0.25">
      <c r="A58" s="45"/>
      <c r="B58" s="45" t="s">
        <v>22</v>
      </c>
      <c r="C58" s="45">
        <v>10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15.75" x14ac:dyDescent="0.25">
      <c r="A59" s="45"/>
      <c r="B59" s="45" t="s">
        <v>42</v>
      </c>
      <c r="C59" s="45">
        <v>10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1:15" ht="15.75" x14ac:dyDescent="0.25">
      <c r="A60" s="45"/>
      <c r="B60" s="45" t="s">
        <v>51</v>
      </c>
      <c r="C60" s="45">
        <v>20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1:15" ht="15.75" x14ac:dyDescent="0.25">
      <c r="A61" s="45"/>
      <c r="B61" s="44" t="s">
        <v>30</v>
      </c>
      <c r="C61" s="45">
        <v>30</v>
      </c>
      <c r="D61" s="45">
        <v>2.64</v>
      </c>
      <c r="E61" s="45">
        <v>0.48</v>
      </c>
      <c r="F61" s="45">
        <v>13.36</v>
      </c>
      <c r="G61" s="45">
        <v>69.599999999999994</v>
      </c>
      <c r="H61" s="45">
        <v>7.0000000000000007E-2</v>
      </c>
      <c r="I61" s="45">
        <v>0</v>
      </c>
      <c r="J61" s="45">
        <v>0</v>
      </c>
      <c r="K61" s="45">
        <v>0.56000000000000005</v>
      </c>
      <c r="L61" s="45">
        <v>14</v>
      </c>
      <c r="M61" s="45">
        <v>63.2</v>
      </c>
      <c r="N61" s="45">
        <v>18.8</v>
      </c>
      <c r="O61" s="45">
        <v>1.56</v>
      </c>
    </row>
    <row r="62" spans="1:15" ht="15.75" x14ac:dyDescent="0.25">
      <c r="A62" s="45"/>
      <c r="B62" s="44" t="s">
        <v>27</v>
      </c>
      <c r="C62" s="45">
        <v>40</v>
      </c>
      <c r="D62" s="45">
        <v>3.04</v>
      </c>
      <c r="E62" s="45">
        <v>0.32</v>
      </c>
      <c r="F62" s="45">
        <v>19.68</v>
      </c>
      <c r="G62" s="45">
        <v>94</v>
      </c>
      <c r="H62" s="45">
        <v>0.04</v>
      </c>
      <c r="I62" s="45">
        <v>0</v>
      </c>
      <c r="J62" s="45">
        <v>0</v>
      </c>
      <c r="K62" s="45">
        <v>0.44</v>
      </c>
      <c r="L62" s="45">
        <v>8</v>
      </c>
      <c r="M62" s="45">
        <v>26</v>
      </c>
      <c r="N62" s="45">
        <v>5.6</v>
      </c>
      <c r="O62" s="45">
        <v>0.44</v>
      </c>
    </row>
    <row r="63" spans="1:15" s="7" customFormat="1" ht="15.75" x14ac:dyDescent="0.25">
      <c r="A63" s="44"/>
      <c r="B63" s="44" t="s">
        <v>345</v>
      </c>
      <c r="C63" s="44"/>
      <c r="D63" s="44">
        <f>D64+D69+D77+D84+D88+D92+D93</f>
        <v>43.104999999999997</v>
      </c>
      <c r="E63" s="44">
        <f t="shared" ref="E63:O63" si="1">E64+E69+E77+E84+E88+E92+E93</f>
        <v>32.659999999999997</v>
      </c>
      <c r="F63" s="44">
        <f t="shared" si="1"/>
        <v>104.52999999999999</v>
      </c>
      <c r="G63" s="44">
        <f t="shared" si="1"/>
        <v>886.45999999999992</v>
      </c>
      <c r="H63" s="44">
        <f t="shared" si="1"/>
        <v>0.34</v>
      </c>
      <c r="I63" s="44">
        <f t="shared" si="1"/>
        <v>24.27</v>
      </c>
      <c r="J63" s="44">
        <f t="shared" si="1"/>
        <v>100.28666666666668</v>
      </c>
      <c r="K63" s="44">
        <f t="shared" si="1"/>
        <v>5.5500000000000007</v>
      </c>
      <c r="L63" s="44">
        <f t="shared" si="1"/>
        <v>114.49</v>
      </c>
      <c r="M63" s="44">
        <f t="shared" si="1"/>
        <v>389.96000000000004</v>
      </c>
      <c r="N63" s="44">
        <f t="shared" si="1"/>
        <v>97.023333333333326</v>
      </c>
      <c r="O63" s="44">
        <f t="shared" si="1"/>
        <v>8.5570000000000004</v>
      </c>
    </row>
    <row r="64" spans="1:15" s="7" customFormat="1" ht="31.5" x14ac:dyDescent="0.25">
      <c r="A64" s="45">
        <v>19</v>
      </c>
      <c r="B64" s="44" t="s">
        <v>332</v>
      </c>
      <c r="C64" s="45">
        <v>60</v>
      </c>
      <c r="D64" s="45">
        <f>0.8/100*60</f>
        <v>0.48</v>
      </c>
      <c r="E64" s="45">
        <f>6.3/100*60</f>
        <v>3.7800000000000002</v>
      </c>
      <c r="F64" s="45">
        <f>6/100*60</f>
        <v>3.5999999999999996</v>
      </c>
      <c r="G64" s="45">
        <f>83/100*60</f>
        <v>49.8</v>
      </c>
      <c r="H64" s="45">
        <f>0.05/100*60</f>
        <v>0.03</v>
      </c>
      <c r="I64" s="45">
        <f>15.5/100*60</f>
        <v>9.3000000000000007</v>
      </c>
      <c r="J64" s="45">
        <v>0</v>
      </c>
      <c r="K64" s="45">
        <f>4/100*60</f>
        <v>2.4</v>
      </c>
      <c r="L64" s="45">
        <f>15.1/100*60</f>
        <v>9.06</v>
      </c>
      <c r="M64" s="45">
        <f>19.4/100*60</f>
        <v>11.639999999999999</v>
      </c>
      <c r="N64" s="45">
        <f>14.9/100*60</f>
        <v>8.94</v>
      </c>
      <c r="O64" s="45">
        <f>1.37/100*60</f>
        <v>0.82200000000000006</v>
      </c>
    </row>
    <row r="65" spans="1:15" s="7" customFormat="1" ht="15.75" x14ac:dyDescent="0.25">
      <c r="A65" s="44"/>
      <c r="B65" s="45" t="s">
        <v>41</v>
      </c>
      <c r="C65" s="45">
        <f>6/100*60</f>
        <v>3.5999999999999996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1:15" s="7" customFormat="1" ht="15.75" x14ac:dyDescent="0.25">
      <c r="A66" s="44"/>
      <c r="B66" s="45" t="s">
        <v>47</v>
      </c>
      <c r="C66" s="45">
        <f>0.25/100*60</f>
        <v>0.15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s="7" customFormat="1" ht="15.75" x14ac:dyDescent="0.25">
      <c r="A67" s="44"/>
      <c r="B67" s="45" t="s">
        <v>333</v>
      </c>
      <c r="C67" s="45">
        <f>57/100*60</f>
        <v>34.199999999999996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s="7" customFormat="1" ht="15.75" x14ac:dyDescent="0.25">
      <c r="A68" s="44"/>
      <c r="B68" s="45" t="s">
        <v>62</v>
      </c>
      <c r="C68" s="45">
        <f>38.7/100*60</f>
        <v>23.22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15.75" x14ac:dyDescent="0.25">
      <c r="A69" s="45">
        <v>111</v>
      </c>
      <c r="B69" s="44" t="s">
        <v>52</v>
      </c>
      <c r="C69" s="45">
        <v>250</v>
      </c>
      <c r="D69" s="45">
        <f>53.3/1000*250</f>
        <v>13.324999999999999</v>
      </c>
      <c r="E69" s="45">
        <v>12.82</v>
      </c>
      <c r="F69" s="45">
        <v>3.47</v>
      </c>
      <c r="G69" s="45">
        <v>182.7</v>
      </c>
      <c r="H69" s="45">
        <v>0.05</v>
      </c>
      <c r="I69" s="45">
        <v>2.85</v>
      </c>
      <c r="J69" s="45">
        <v>78.62</v>
      </c>
      <c r="K69" s="45">
        <v>0.41</v>
      </c>
      <c r="L69" s="45">
        <v>42.75</v>
      </c>
      <c r="M69" s="45">
        <v>99.62</v>
      </c>
      <c r="N69" s="45">
        <v>25.3</v>
      </c>
      <c r="O69" s="45">
        <v>1.67</v>
      </c>
    </row>
    <row r="70" spans="1:15" ht="15.75" x14ac:dyDescent="0.25">
      <c r="A70" s="45"/>
      <c r="B70" s="45" t="s">
        <v>53</v>
      </c>
      <c r="C70" s="45">
        <v>29.62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5" ht="15.75" x14ac:dyDescent="0.25">
      <c r="A71" s="45"/>
      <c r="B71" s="45" t="s">
        <v>34</v>
      </c>
      <c r="C71" s="45">
        <v>12.5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5" ht="15.75" x14ac:dyDescent="0.25">
      <c r="A72" s="45"/>
      <c r="B72" s="45" t="s">
        <v>23</v>
      </c>
      <c r="C72" s="45">
        <v>5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5.75" x14ac:dyDescent="0.25">
      <c r="A73" s="45"/>
      <c r="B73" s="45" t="s">
        <v>54</v>
      </c>
      <c r="C73" s="45">
        <v>24.75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1:15" ht="15.75" x14ac:dyDescent="0.25">
      <c r="A74" s="45"/>
      <c r="B74" s="45" t="s">
        <v>36</v>
      </c>
      <c r="C74" s="45">
        <v>24.55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1:15" ht="15.75" x14ac:dyDescent="0.25">
      <c r="A75" s="45"/>
      <c r="B75" s="45" t="s">
        <v>55</v>
      </c>
      <c r="C75" s="45">
        <v>5.17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1:15" ht="15.75" x14ac:dyDescent="0.25">
      <c r="A76" s="45"/>
      <c r="B76" s="45" t="s">
        <v>40</v>
      </c>
      <c r="C76" s="45">
        <v>225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ht="15.75" x14ac:dyDescent="0.25">
      <c r="A77" s="45">
        <v>327</v>
      </c>
      <c r="B77" s="44" t="s">
        <v>56</v>
      </c>
      <c r="C77" s="45">
        <v>100</v>
      </c>
      <c r="D77" s="45">
        <v>15.58</v>
      </c>
      <c r="E77" s="45">
        <v>14.16</v>
      </c>
      <c r="F77" s="45">
        <f>4.2/120*100</f>
        <v>3.5000000000000004</v>
      </c>
      <c r="G77" s="45">
        <v>204.16</v>
      </c>
      <c r="H77" s="45">
        <v>0.03</v>
      </c>
      <c r="I77" s="45">
        <f>0.6/120*100</f>
        <v>0.5</v>
      </c>
      <c r="J77" s="45">
        <f>26/120*100</f>
        <v>21.666666666666668</v>
      </c>
      <c r="K77" s="45">
        <v>0.57999999999999996</v>
      </c>
      <c r="L77" s="45">
        <v>14.08</v>
      </c>
      <c r="M77" s="45">
        <v>129.9</v>
      </c>
      <c r="N77" s="45">
        <f>23.5/120*100</f>
        <v>19.583333333333332</v>
      </c>
      <c r="O77" s="45">
        <f>2.67/120*100</f>
        <v>2.2250000000000001</v>
      </c>
    </row>
    <row r="78" spans="1:15" ht="15.75" x14ac:dyDescent="0.25">
      <c r="A78" s="45"/>
      <c r="B78" s="45" t="s">
        <v>57</v>
      </c>
      <c r="C78" s="45">
        <f>111/120*100</f>
        <v>92.5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1:15" ht="15.75" x14ac:dyDescent="0.25">
      <c r="A79" s="45"/>
      <c r="B79" s="45" t="s">
        <v>34</v>
      </c>
      <c r="C79" s="45">
        <v>9.16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ht="15.75" x14ac:dyDescent="0.25">
      <c r="A80" s="45"/>
      <c r="B80" s="45" t="s">
        <v>47</v>
      </c>
      <c r="C80" s="45">
        <v>0.41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1:19" ht="15.75" x14ac:dyDescent="0.25">
      <c r="A81" s="45"/>
      <c r="B81" s="45" t="s">
        <v>23</v>
      </c>
      <c r="C81" s="45">
        <v>5.41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9" ht="15.75" x14ac:dyDescent="0.25">
      <c r="A82" s="45"/>
      <c r="B82" s="45" t="s">
        <v>46</v>
      </c>
      <c r="C82" s="45">
        <v>3.08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1:19" ht="15.75" x14ac:dyDescent="0.25">
      <c r="A83" s="45"/>
      <c r="B83" s="45" t="s">
        <v>36</v>
      </c>
      <c r="C83" s="45">
        <v>11.83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9" ht="31.5" x14ac:dyDescent="0.25">
      <c r="A84" s="45">
        <v>256</v>
      </c>
      <c r="B84" s="44" t="s">
        <v>59</v>
      </c>
      <c r="C84" s="45">
        <v>150</v>
      </c>
      <c r="D84" s="45">
        <v>7.54</v>
      </c>
      <c r="E84" s="45">
        <v>0.9</v>
      </c>
      <c r="F84" s="45">
        <v>38.72</v>
      </c>
      <c r="G84" s="45">
        <v>193.2</v>
      </c>
      <c r="H84" s="45">
        <v>0.08</v>
      </c>
      <c r="I84" s="45">
        <v>0.02</v>
      </c>
      <c r="J84" s="45">
        <v>0</v>
      </c>
      <c r="K84" s="46">
        <v>1.06</v>
      </c>
      <c r="L84" s="45">
        <v>7.6</v>
      </c>
      <c r="M84" s="45">
        <v>47.6</v>
      </c>
      <c r="N84" s="45">
        <v>10.8</v>
      </c>
      <c r="O84" s="45">
        <v>1.04</v>
      </c>
    </row>
    <row r="85" spans="1:19" ht="15.75" x14ac:dyDescent="0.25">
      <c r="A85" s="45"/>
      <c r="B85" s="45" t="s">
        <v>47</v>
      </c>
      <c r="C85" s="45">
        <v>2.5499999999999998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1:19" ht="15.75" x14ac:dyDescent="0.25">
      <c r="A86" s="45"/>
      <c r="B86" s="45" t="s">
        <v>23</v>
      </c>
      <c r="C86" s="45">
        <v>6.75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9" ht="15.75" x14ac:dyDescent="0.25">
      <c r="A87" s="45"/>
      <c r="B87" s="45" t="s">
        <v>60</v>
      </c>
      <c r="C87" s="45">
        <v>51.05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1:19" ht="31.5" x14ac:dyDescent="0.25">
      <c r="A88" s="45">
        <v>488</v>
      </c>
      <c r="B88" s="44" t="s">
        <v>61</v>
      </c>
      <c r="C88" s="45">
        <v>200</v>
      </c>
      <c r="D88" s="45">
        <v>0.5</v>
      </c>
      <c r="E88" s="45">
        <v>0.2</v>
      </c>
      <c r="F88" s="45">
        <v>22.2</v>
      </c>
      <c r="G88" s="45">
        <v>93</v>
      </c>
      <c r="H88" s="45">
        <v>0.04</v>
      </c>
      <c r="I88" s="45">
        <v>11.6</v>
      </c>
      <c r="J88" s="45">
        <v>0</v>
      </c>
      <c r="K88" s="45">
        <v>0.1</v>
      </c>
      <c r="L88" s="45">
        <v>19</v>
      </c>
      <c r="M88" s="45">
        <v>12</v>
      </c>
      <c r="N88" s="45">
        <v>8</v>
      </c>
      <c r="O88" s="45">
        <v>0.8</v>
      </c>
    </row>
    <row r="89" spans="1:19" ht="15.75" x14ac:dyDescent="0.25">
      <c r="A89" s="45"/>
      <c r="B89" s="45" t="s">
        <v>62</v>
      </c>
      <c r="C89" s="45">
        <v>36.9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1:19" ht="15.75" x14ac:dyDescent="0.25">
      <c r="A90" s="45"/>
      <c r="B90" s="45" t="s">
        <v>63</v>
      </c>
      <c r="C90" s="45">
        <v>39.5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S90" s="7"/>
    </row>
    <row r="91" spans="1:19" ht="15.75" x14ac:dyDescent="0.25">
      <c r="A91" s="45"/>
      <c r="B91" s="45" t="s">
        <v>22</v>
      </c>
      <c r="C91" s="45">
        <v>10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S91" s="7"/>
    </row>
    <row r="92" spans="1:19" ht="15.75" x14ac:dyDescent="0.25">
      <c r="A92" s="45"/>
      <c r="B92" s="44" t="s">
        <v>27</v>
      </c>
      <c r="C92" s="45">
        <v>40</v>
      </c>
      <c r="D92" s="45">
        <v>3.04</v>
      </c>
      <c r="E92" s="45">
        <v>0.32</v>
      </c>
      <c r="F92" s="45">
        <v>19.68</v>
      </c>
      <c r="G92" s="45">
        <v>94</v>
      </c>
      <c r="H92" s="45">
        <v>0.04</v>
      </c>
      <c r="I92" s="45">
        <v>0</v>
      </c>
      <c r="J92" s="45">
        <v>0</v>
      </c>
      <c r="K92" s="45">
        <v>0.44</v>
      </c>
      <c r="L92" s="45">
        <v>8</v>
      </c>
      <c r="M92" s="45">
        <v>26</v>
      </c>
      <c r="N92" s="45">
        <v>5.6</v>
      </c>
      <c r="O92" s="45">
        <v>0.44</v>
      </c>
    </row>
    <row r="93" spans="1:19" ht="15.75" x14ac:dyDescent="0.25">
      <c r="A93" s="45"/>
      <c r="B93" s="44" t="s">
        <v>30</v>
      </c>
      <c r="C93" s="45">
        <v>30</v>
      </c>
      <c r="D93" s="45">
        <v>2.64</v>
      </c>
      <c r="E93" s="45">
        <v>0.48</v>
      </c>
      <c r="F93" s="45">
        <v>13.36</v>
      </c>
      <c r="G93" s="45">
        <v>69.599999999999994</v>
      </c>
      <c r="H93" s="45">
        <v>7.0000000000000007E-2</v>
      </c>
      <c r="I93" s="45">
        <v>0</v>
      </c>
      <c r="J93" s="45">
        <v>0</v>
      </c>
      <c r="K93" s="45">
        <v>0.56000000000000005</v>
      </c>
      <c r="L93" s="45">
        <v>14</v>
      </c>
      <c r="M93" s="45">
        <v>63.2</v>
      </c>
      <c r="N93" s="45">
        <v>18.8</v>
      </c>
      <c r="O93" s="45">
        <v>1.56</v>
      </c>
    </row>
    <row r="94" spans="1:19" s="7" customFormat="1" ht="15.75" x14ac:dyDescent="0.25">
      <c r="A94" s="44"/>
      <c r="B94" s="44" t="s">
        <v>346</v>
      </c>
      <c r="C94" s="44"/>
      <c r="D94" s="44">
        <f>D95+D96</f>
        <v>7.57</v>
      </c>
      <c r="E94" s="44">
        <f t="shared" ref="E94:O94" si="2">E95+E96</f>
        <v>6.41</v>
      </c>
      <c r="F94" s="44">
        <f t="shared" si="2"/>
        <v>32.1</v>
      </c>
      <c r="G94" s="44">
        <f t="shared" si="2"/>
        <v>215.8</v>
      </c>
      <c r="H94" s="44">
        <f t="shared" si="2"/>
        <v>0.1</v>
      </c>
      <c r="I94" s="44">
        <f t="shared" si="2"/>
        <v>2.6</v>
      </c>
      <c r="J94" s="44">
        <f t="shared" si="2"/>
        <v>0.04</v>
      </c>
      <c r="K94" s="44">
        <f t="shared" si="2"/>
        <v>0.72</v>
      </c>
      <c r="L94" s="44">
        <f t="shared" si="2"/>
        <v>243.3</v>
      </c>
      <c r="M94" s="44">
        <f t="shared" si="2"/>
        <v>195</v>
      </c>
      <c r="N94" s="44">
        <f t="shared" si="2"/>
        <v>30.7</v>
      </c>
      <c r="O94" s="44">
        <f t="shared" si="2"/>
        <v>0.44</v>
      </c>
    </row>
    <row r="95" spans="1:19" ht="15.75" x14ac:dyDescent="0.25">
      <c r="A95" s="45"/>
      <c r="B95" s="44" t="s">
        <v>64</v>
      </c>
      <c r="C95" s="45">
        <v>30</v>
      </c>
      <c r="D95" s="45">
        <v>1.77</v>
      </c>
      <c r="E95" s="45">
        <v>1.41</v>
      </c>
      <c r="F95" s="45">
        <v>22.5</v>
      </c>
      <c r="G95" s="45">
        <v>109.8</v>
      </c>
      <c r="H95" s="45">
        <v>0.02</v>
      </c>
      <c r="I95" s="45">
        <v>0</v>
      </c>
      <c r="J95" s="45">
        <v>0</v>
      </c>
      <c r="K95" s="45">
        <v>0.72</v>
      </c>
      <c r="L95" s="45">
        <v>3.3</v>
      </c>
      <c r="M95" s="45">
        <v>15</v>
      </c>
      <c r="N95" s="45">
        <v>2.7</v>
      </c>
      <c r="O95" s="45">
        <v>0.24</v>
      </c>
    </row>
    <row r="96" spans="1:19" ht="15.75" x14ac:dyDescent="0.25">
      <c r="A96" s="45"/>
      <c r="B96" s="44" t="s">
        <v>65</v>
      </c>
      <c r="C96" s="45">
        <v>200</v>
      </c>
      <c r="D96" s="45">
        <v>5.8</v>
      </c>
      <c r="E96" s="45">
        <v>5</v>
      </c>
      <c r="F96" s="45">
        <v>9.6</v>
      </c>
      <c r="G96" s="45">
        <v>106</v>
      </c>
      <c r="H96" s="45">
        <v>0.08</v>
      </c>
      <c r="I96" s="45">
        <v>2.6</v>
      </c>
      <c r="J96" s="45">
        <v>0.04</v>
      </c>
      <c r="K96" s="45">
        <v>0</v>
      </c>
      <c r="L96" s="45">
        <v>240</v>
      </c>
      <c r="M96" s="45">
        <v>180</v>
      </c>
      <c r="N96" s="45">
        <v>28</v>
      </c>
      <c r="O96" s="45">
        <v>0.2</v>
      </c>
    </row>
    <row r="97" spans="1:15" s="7" customFormat="1" ht="15.75" x14ac:dyDescent="0.25">
      <c r="A97" s="44"/>
      <c r="B97" s="44" t="s">
        <v>66</v>
      </c>
      <c r="C97" s="44"/>
      <c r="D97" s="44">
        <f t="shared" ref="D97:O97" si="3">D94+D63+D27+D10</f>
        <v>105.59499999999998</v>
      </c>
      <c r="E97" s="44">
        <f t="shared" si="3"/>
        <v>92.821999999999989</v>
      </c>
      <c r="F97" s="44">
        <f t="shared" si="3"/>
        <v>338.09999999999997</v>
      </c>
      <c r="G97" s="44">
        <f t="shared" si="3"/>
        <v>2589.42</v>
      </c>
      <c r="H97" s="44">
        <f t="shared" si="3"/>
        <v>1.2146666666666668</v>
      </c>
      <c r="I97" s="44">
        <f t="shared" si="3"/>
        <v>62.16</v>
      </c>
      <c r="J97" s="44">
        <f t="shared" si="3"/>
        <v>233.42666666666668</v>
      </c>
      <c r="K97" s="44">
        <f t="shared" si="3"/>
        <v>10.450000000000001</v>
      </c>
      <c r="L97" s="44">
        <f t="shared" si="3"/>
        <v>979.92000000000007</v>
      </c>
      <c r="M97" s="44">
        <f t="shared" si="3"/>
        <v>1556.2479999999998</v>
      </c>
      <c r="N97" s="44">
        <f t="shared" si="3"/>
        <v>449.29333333333335</v>
      </c>
      <c r="O97" s="44">
        <f t="shared" si="3"/>
        <v>23.370999999999999</v>
      </c>
    </row>
    <row r="98" spans="1:15" ht="15.75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1:15" ht="18" x14ac:dyDescent="0.25">
      <c r="A99" s="1" t="s">
        <v>101</v>
      </c>
    </row>
    <row r="101" spans="1:15" ht="15.75" x14ac:dyDescent="0.25">
      <c r="A101" s="2" t="s">
        <v>19</v>
      </c>
      <c r="B101" s="4"/>
      <c r="C101" s="4"/>
      <c r="D101" s="4"/>
      <c r="E101" s="4"/>
      <c r="F101" s="4"/>
      <c r="G101" s="5"/>
      <c r="H101" s="4"/>
      <c r="I101" s="4"/>
      <c r="J101" s="4"/>
      <c r="K101" s="4"/>
      <c r="L101" s="4"/>
      <c r="M101" s="4"/>
      <c r="N101" s="4"/>
      <c r="O101" s="4"/>
    </row>
    <row r="102" spans="1:15" ht="15" x14ac:dyDescent="0.2">
      <c r="A102" s="62" t="s">
        <v>17</v>
      </c>
      <c r="B102" s="61" t="s">
        <v>0</v>
      </c>
      <c r="C102" s="61" t="s">
        <v>1</v>
      </c>
      <c r="D102" s="63" t="s">
        <v>9</v>
      </c>
      <c r="E102" s="64"/>
      <c r="F102" s="65"/>
      <c r="G102" s="61" t="s">
        <v>10</v>
      </c>
      <c r="H102" s="61" t="s">
        <v>7</v>
      </c>
      <c r="I102" s="61"/>
      <c r="J102" s="61"/>
      <c r="K102" s="61"/>
      <c r="L102" s="61" t="s">
        <v>8</v>
      </c>
      <c r="M102" s="61"/>
      <c r="N102" s="61"/>
      <c r="O102" s="61"/>
    </row>
    <row r="103" spans="1:15" ht="30" x14ac:dyDescent="0.2">
      <c r="A103" s="62"/>
      <c r="B103" s="61"/>
      <c r="C103" s="61"/>
      <c r="D103" s="41" t="s">
        <v>2</v>
      </c>
      <c r="E103" s="42" t="s">
        <v>3</v>
      </c>
      <c r="F103" s="42" t="s">
        <v>4</v>
      </c>
      <c r="G103" s="61"/>
      <c r="H103" s="42" t="s">
        <v>11</v>
      </c>
      <c r="I103" s="42" t="s">
        <v>12</v>
      </c>
      <c r="J103" s="42" t="s">
        <v>13</v>
      </c>
      <c r="K103" s="42" t="s">
        <v>5</v>
      </c>
      <c r="L103" s="43" t="s">
        <v>14</v>
      </c>
      <c r="M103" s="42" t="s">
        <v>15</v>
      </c>
      <c r="N103" s="42" t="s">
        <v>6</v>
      </c>
      <c r="O103" s="42" t="s">
        <v>16</v>
      </c>
    </row>
    <row r="104" spans="1:15" s="7" customFormat="1" ht="15.75" x14ac:dyDescent="0.25">
      <c r="A104" s="44"/>
      <c r="B104" s="44" t="s">
        <v>366</v>
      </c>
      <c r="C104" s="44"/>
      <c r="D104" s="44">
        <f>11.38+3.69+0.1+3.04+2.64+0.8</f>
        <v>21.650000000000002</v>
      </c>
      <c r="E104" s="44">
        <f>11.14+6.08+0+0.32+0.48+0.8</f>
        <v>18.82</v>
      </c>
      <c r="F104" s="44">
        <f>3.78+33.81+15+19.68+13.36+19.6</f>
        <v>105.23000000000002</v>
      </c>
      <c r="G104" s="44">
        <f t="shared" ref="G104:O104" si="4">G105+G115+G119+G122+G123+G124</f>
        <v>591.4</v>
      </c>
      <c r="H104" s="44">
        <f t="shared" si="4"/>
        <v>0.22</v>
      </c>
      <c r="I104" s="44">
        <f t="shared" si="4"/>
        <v>0.84</v>
      </c>
      <c r="J104" s="44">
        <f t="shared" si="4"/>
        <v>7.0000000000000007E-2</v>
      </c>
      <c r="K104" s="44">
        <f t="shared" si="4"/>
        <v>1.8599999999999999</v>
      </c>
      <c r="L104" s="44">
        <f t="shared" si="4"/>
        <v>111.11999999999999</v>
      </c>
      <c r="M104" s="44">
        <f t="shared" si="4"/>
        <v>313.8</v>
      </c>
      <c r="N104" s="44">
        <f t="shared" si="4"/>
        <v>68.650000000000006</v>
      </c>
      <c r="O104" s="44">
        <f t="shared" si="4"/>
        <v>3.25</v>
      </c>
    </row>
    <row r="105" spans="1:15" ht="31.5" x14ac:dyDescent="0.25">
      <c r="A105" s="45">
        <v>298</v>
      </c>
      <c r="B105" s="44" t="s">
        <v>67</v>
      </c>
      <c r="C105" s="45">
        <v>120</v>
      </c>
      <c r="D105" s="45">
        <v>11.83</v>
      </c>
      <c r="E105" s="45">
        <v>11.14</v>
      </c>
      <c r="F105" s="45">
        <v>3.78</v>
      </c>
      <c r="G105" s="45">
        <v>163.19999999999999</v>
      </c>
      <c r="H105" s="45">
        <v>0.08</v>
      </c>
      <c r="I105" s="45">
        <v>0.84</v>
      </c>
      <c r="J105" s="45">
        <v>0.02</v>
      </c>
      <c r="K105" s="45">
        <v>0.56999999999999995</v>
      </c>
      <c r="L105" s="45">
        <v>73.02</v>
      </c>
      <c r="M105" s="45">
        <v>150.80000000000001</v>
      </c>
      <c r="N105" s="45">
        <v>20.45</v>
      </c>
      <c r="O105" s="45">
        <v>0.42</v>
      </c>
    </row>
    <row r="106" spans="1:15" ht="15.75" x14ac:dyDescent="0.25">
      <c r="A106" s="45"/>
      <c r="B106" s="45" t="s">
        <v>283</v>
      </c>
      <c r="C106" s="45">
        <v>72.599999999999994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1:15" ht="15.75" x14ac:dyDescent="0.25">
      <c r="A107" s="45"/>
      <c r="B107" s="45" t="s">
        <v>37</v>
      </c>
      <c r="C107" s="45">
        <v>21.48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1:15" ht="15.75" x14ac:dyDescent="0.25">
      <c r="A108" s="45"/>
      <c r="B108" s="45" t="s">
        <v>47</v>
      </c>
      <c r="C108" s="45">
        <v>1.5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1:15" ht="15.75" x14ac:dyDescent="0.25">
      <c r="A109" s="45"/>
      <c r="B109" s="45" t="s">
        <v>36</v>
      </c>
      <c r="C109" s="45">
        <v>12.06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1:15" ht="15.75" x14ac:dyDescent="0.25">
      <c r="A110" s="45"/>
      <c r="B110" s="45" t="s">
        <v>41</v>
      </c>
      <c r="C110" s="45">
        <v>1.2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1:15" ht="15.75" x14ac:dyDescent="0.25">
      <c r="A111" s="45"/>
      <c r="B111" s="45" t="s">
        <v>35</v>
      </c>
      <c r="C111" s="45">
        <v>25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1:15" ht="15.75" x14ac:dyDescent="0.25">
      <c r="A112" s="45"/>
      <c r="B112" s="45" t="s">
        <v>47</v>
      </c>
      <c r="C112" s="45">
        <v>1.2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1:15" ht="15.75" x14ac:dyDescent="0.25">
      <c r="A113" s="45"/>
      <c r="B113" s="45" t="s">
        <v>46</v>
      </c>
      <c r="C113" s="45">
        <v>1.25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1:15" ht="15.75" x14ac:dyDescent="0.25">
      <c r="A114" s="45"/>
      <c r="B114" s="45" t="s">
        <v>23</v>
      </c>
      <c r="C114" s="45">
        <v>1.25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1:15" ht="15.75" x14ac:dyDescent="0.25">
      <c r="A115" s="45">
        <v>385</v>
      </c>
      <c r="B115" s="44" t="s">
        <v>69</v>
      </c>
      <c r="C115" s="45">
        <v>150</v>
      </c>
      <c r="D115" s="45">
        <v>3.69</v>
      </c>
      <c r="E115" s="45">
        <v>6.08</v>
      </c>
      <c r="F115" s="45">
        <v>33.81</v>
      </c>
      <c r="G115" s="45">
        <v>204.6</v>
      </c>
      <c r="H115" s="45">
        <v>0.03</v>
      </c>
      <c r="I115" s="45">
        <v>0</v>
      </c>
      <c r="J115" s="45">
        <v>0.05</v>
      </c>
      <c r="K115" s="45">
        <v>0.28999999999999998</v>
      </c>
      <c r="L115" s="45">
        <v>5.0999999999999996</v>
      </c>
      <c r="M115" s="45">
        <v>70.8</v>
      </c>
      <c r="N115" s="45">
        <v>22.8</v>
      </c>
      <c r="O115" s="45">
        <v>0.53</v>
      </c>
    </row>
    <row r="116" spans="1:15" ht="15.75" x14ac:dyDescent="0.25">
      <c r="A116" s="45"/>
      <c r="B116" s="45" t="s">
        <v>44</v>
      </c>
      <c r="C116" s="45">
        <v>50.91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</row>
    <row r="117" spans="1:15" ht="15.75" x14ac:dyDescent="0.25">
      <c r="A117" s="45"/>
      <c r="B117" s="45" t="s">
        <v>23</v>
      </c>
      <c r="C117" s="45">
        <v>6.4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1:15" ht="15.75" x14ac:dyDescent="0.25">
      <c r="A118" s="45"/>
      <c r="B118" s="45" t="s">
        <v>47</v>
      </c>
      <c r="C118" s="45">
        <v>0.35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1:15" ht="15.75" x14ac:dyDescent="0.25">
      <c r="A119" s="45">
        <v>457</v>
      </c>
      <c r="B119" s="44" t="s">
        <v>70</v>
      </c>
      <c r="C119" s="45">
        <v>200</v>
      </c>
      <c r="D119" s="45">
        <v>0.1</v>
      </c>
      <c r="E119" s="45">
        <v>0</v>
      </c>
      <c r="F119" s="45">
        <v>15</v>
      </c>
      <c r="G119" s="45">
        <v>60</v>
      </c>
      <c r="H119" s="45">
        <v>0</v>
      </c>
      <c r="I119" s="45">
        <v>0</v>
      </c>
      <c r="J119" s="45">
        <v>0</v>
      </c>
      <c r="K119" s="45">
        <v>0</v>
      </c>
      <c r="L119" s="45">
        <v>11</v>
      </c>
      <c r="M119" s="45">
        <v>3</v>
      </c>
      <c r="N119" s="45">
        <v>1</v>
      </c>
      <c r="O119" s="45">
        <v>0.3</v>
      </c>
    </row>
    <row r="120" spans="1:15" ht="15.75" x14ac:dyDescent="0.25">
      <c r="A120" s="45"/>
      <c r="B120" s="45" t="s">
        <v>22</v>
      </c>
      <c r="C120" s="45">
        <v>10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1:15" ht="15.75" x14ac:dyDescent="0.25">
      <c r="A121" s="45"/>
      <c r="B121" s="45" t="s">
        <v>71</v>
      </c>
      <c r="C121" s="45">
        <v>1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1:15" ht="15.75" x14ac:dyDescent="0.25">
      <c r="A122" s="45"/>
      <c r="B122" s="45" t="s">
        <v>341</v>
      </c>
      <c r="C122" s="45">
        <v>40</v>
      </c>
      <c r="D122" s="45">
        <v>3.04</v>
      </c>
      <c r="E122" s="45">
        <v>0.32</v>
      </c>
      <c r="F122" s="45">
        <v>19.68</v>
      </c>
      <c r="G122" s="45">
        <v>94</v>
      </c>
      <c r="H122" s="45">
        <v>0.04</v>
      </c>
      <c r="I122" s="45">
        <v>0</v>
      </c>
      <c r="J122" s="45">
        <v>0</v>
      </c>
      <c r="K122" s="45">
        <v>0.44</v>
      </c>
      <c r="L122" s="45">
        <v>8</v>
      </c>
      <c r="M122" s="45">
        <v>26</v>
      </c>
      <c r="N122" s="45">
        <v>5.6</v>
      </c>
      <c r="O122" s="45">
        <v>0.44</v>
      </c>
    </row>
    <row r="123" spans="1:15" ht="15.75" x14ac:dyDescent="0.25">
      <c r="A123" s="45"/>
      <c r="B123" s="44" t="s">
        <v>73</v>
      </c>
      <c r="C123" s="45">
        <v>30</v>
      </c>
      <c r="D123" s="45">
        <v>2.64</v>
      </c>
      <c r="E123" s="45">
        <v>0.48</v>
      </c>
      <c r="F123" s="45">
        <v>13.36</v>
      </c>
      <c r="G123" s="45">
        <v>69.599999999999994</v>
      </c>
      <c r="H123" s="45">
        <v>7.0000000000000007E-2</v>
      </c>
      <c r="I123" s="45">
        <v>0</v>
      </c>
      <c r="J123" s="45">
        <v>0</v>
      </c>
      <c r="K123" s="45">
        <v>0.56000000000000005</v>
      </c>
      <c r="L123" s="45">
        <v>14</v>
      </c>
      <c r="M123" s="45">
        <v>63.2</v>
      </c>
      <c r="N123" s="45">
        <v>18.8</v>
      </c>
      <c r="O123" s="45">
        <v>1.56</v>
      </c>
    </row>
    <row r="124" spans="1:15" ht="15.75" x14ac:dyDescent="0.25">
      <c r="A124" s="45">
        <v>82</v>
      </c>
      <c r="B124" s="44" t="s">
        <v>74</v>
      </c>
      <c r="C124" s="45">
        <v>150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1:15" s="7" customFormat="1" ht="15.75" x14ac:dyDescent="0.25">
      <c r="A125" s="44"/>
      <c r="B125" s="44" t="s">
        <v>368</v>
      </c>
      <c r="C125" s="44"/>
      <c r="D125" s="44">
        <f>D126+D142+D134+D148+D151+D152</f>
        <v>31.64</v>
      </c>
      <c r="E125" s="44">
        <f t="shared" ref="E125:O125" si="5">E126+E134+E142+E148+E151+E152</f>
        <v>32.699999999999996</v>
      </c>
      <c r="F125" s="44">
        <f t="shared" si="5"/>
        <v>81.649999999999991</v>
      </c>
      <c r="G125" s="44">
        <f t="shared" si="5"/>
        <v>750.35</v>
      </c>
      <c r="H125" s="44">
        <f t="shared" si="5"/>
        <v>0.31000000000000005</v>
      </c>
      <c r="I125" s="44">
        <f t="shared" si="5"/>
        <v>95.64</v>
      </c>
      <c r="J125" s="44">
        <f t="shared" si="5"/>
        <v>0</v>
      </c>
      <c r="K125" s="44">
        <f t="shared" si="5"/>
        <v>8.9400000000000013</v>
      </c>
      <c r="L125" s="44">
        <f t="shared" si="5"/>
        <v>118.97</v>
      </c>
      <c r="M125" s="44">
        <f t="shared" si="5"/>
        <v>431.31</v>
      </c>
      <c r="N125" s="44">
        <f t="shared" si="5"/>
        <v>115.47999999999999</v>
      </c>
      <c r="O125" s="44">
        <f t="shared" si="5"/>
        <v>8.7000000000000011</v>
      </c>
    </row>
    <row r="126" spans="1:15" ht="15.75" x14ac:dyDescent="0.25">
      <c r="A126" s="45">
        <v>54</v>
      </c>
      <c r="B126" s="44" t="s">
        <v>75</v>
      </c>
      <c r="C126" s="45">
        <v>60</v>
      </c>
      <c r="D126" s="45">
        <v>1.26</v>
      </c>
      <c r="E126" s="45">
        <v>3.3</v>
      </c>
      <c r="F126" s="45">
        <v>5.58</v>
      </c>
      <c r="G126" s="45">
        <v>57</v>
      </c>
      <c r="H126" s="45">
        <v>0.03</v>
      </c>
      <c r="I126" s="45">
        <v>3.36</v>
      </c>
      <c r="J126" s="45">
        <v>0</v>
      </c>
      <c r="K126" s="45">
        <v>1.86</v>
      </c>
      <c r="L126" s="45">
        <v>17.52</v>
      </c>
      <c r="M126" s="45">
        <v>38.159999999999997</v>
      </c>
      <c r="N126" s="45">
        <v>22.68</v>
      </c>
      <c r="O126" s="45">
        <v>0.65</v>
      </c>
    </row>
    <row r="127" spans="1:15" ht="15.75" x14ac:dyDescent="0.25">
      <c r="A127" s="45"/>
      <c r="B127" s="45" t="s">
        <v>42</v>
      </c>
      <c r="C127" s="45">
        <v>12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1:15" ht="15.75" x14ac:dyDescent="0.25">
      <c r="A128" s="45"/>
      <c r="B128" s="45" t="s">
        <v>36</v>
      </c>
      <c r="C128" s="45">
        <v>10.56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1:15" ht="15.75" x14ac:dyDescent="0.25">
      <c r="A129" s="45"/>
      <c r="B129" s="45" t="s">
        <v>41</v>
      </c>
      <c r="C129" s="45">
        <v>3.6</v>
      </c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1:15" ht="15.75" x14ac:dyDescent="0.25">
      <c r="A130" s="45"/>
      <c r="B130" s="45" t="s">
        <v>34</v>
      </c>
      <c r="C130" s="45">
        <v>16.8</v>
      </c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1:15" ht="15.75" x14ac:dyDescent="0.25">
      <c r="A131" s="45"/>
      <c r="B131" s="45" t="s">
        <v>22</v>
      </c>
      <c r="C131" s="45">
        <v>0.72</v>
      </c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1:15" ht="15.75" x14ac:dyDescent="0.25">
      <c r="A132" s="45"/>
      <c r="B132" s="45" t="s">
        <v>37</v>
      </c>
      <c r="C132" s="45">
        <v>43.98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1:15" ht="15.75" x14ac:dyDescent="0.25">
      <c r="A133" s="45"/>
      <c r="B133" s="45" t="s">
        <v>47</v>
      </c>
      <c r="C133" s="45">
        <v>0.15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1:15" ht="15.75" x14ac:dyDescent="0.25">
      <c r="A134" s="45">
        <v>104</v>
      </c>
      <c r="B134" s="44" t="s">
        <v>76</v>
      </c>
      <c r="C134" s="45">
        <v>250</v>
      </c>
      <c r="D134" s="45">
        <v>1.6</v>
      </c>
      <c r="E134" s="45">
        <v>4.8</v>
      </c>
      <c r="F134" s="45">
        <v>6.23</v>
      </c>
      <c r="G134" s="45">
        <v>75.75</v>
      </c>
      <c r="H134" s="45">
        <v>0.03</v>
      </c>
      <c r="I134" s="45">
        <v>18.38</v>
      </c>
      <c r="J134" s="45">
        <v>0</v>
      </c>
      <c r="K134" s="45">
        <v>2.38</v>
      </c>
      <c r="L134" s="45">
        <v>40.25</v>
      </c>
      <c r="M134" s="45">
        <v>36.25</v>
      </c>
      <c r="N134" s="45">
        <v>17.5</v>
      </c>
      <c r="O134" s="45">
        <v>0.63</v>
      </c>
    </row>
    <row r="135" spans="1:15" ht="15.75" x14ac:dyDescent="0.25">
      <c r="A135" s="45"/>
      <c r="B135" s="45" t="s">
        <v>34</v>
      </c>
      <c r="C135" s="45">
        <v>2.5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  <row r="136" spans="1:15" ht="15.75" x14ac:dyDescent="0.25">
      <c r="A136" s="45"/>
      <c r="B136" s="45" t="s">
        <v>36</v>
      </c>
      <c r="C136" s="45">
        <v>10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</row>
    <row r="137" spans="1:15" ht="15.75" x14ac:dyDescent="0.25">
      <c r="A137" s="45"/>
      <c r="B137" s="45" t="s">
        <v>37</v>
      </c>
      <c r="C137" s="45">
        <v>2.75</v>
      </c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</row>
    <row r="138" spans="1:15" ht="15.75" x14ac:dyDescent="0.25">
      <c r="A138" s="45"/>
      <c r="B138" s="45" t="s">
        <v>35</v>
      </c>
      <c r="C138" s="45">
        <v>12.5</v>
      </c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1:15" ht="15.75" x14ac:dyDescent="0.25">
      <c r="A139" s="45"/>
      <c r="B139" s="45" t="s">
        <v>38</v>
      </c>
      <c r="C139" s="45">
        <v>40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1:15" ht="15.75" x14ac:dyDescent="0.25">
      <c r="A140" s="45"/>
      <c r="B140" s="45" t="s">
        <v>77</v>
      </c>
      <c r="C140" s="45">
        <v>25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</row>
    <row r="141" spans="1:15" ht="15.75" x14ac:dyDescent="0.25">
      <c r="A141" s="45"/>
      <c r="B141" s="45" t="s">
        <v>41</v>
      </c>
      <c r="C141" s="45">
        <v>5</v>
      </c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</row>
    <row r="142" spans="1:15" ht="15.75" x14ac:dyDescent="0.25">
      <c r="A142" s="45">
        <v>328</v>
      </c>
      <c r="B142" s="44" t="s">
        <v>78</v>
      </c>
      <c r="C142" s="45">
        <v>220</v>
      </c>
      <c r="D142" s="45">
        <v>22.4</v>
      </c>
      <c r="E142" s="45">
        <v>23.5</v>
      </c>
      <c r="F142" s="45">
        <v>14</v>
      </c>
      <c r="G142" s="45">
        <v>357</v>
      </c>
      <c r="H142" s="45">
        <v>0.14000000000000001</v>
      </c>
      <c r="I142" s="45">
        <v>3.9</v>
      </c>
      <c r="J142" s="45">
        <v>0</v>
      </c>
      <c r="K142" s="45">
        <v>3.7</v>
      </c>
      <c r="L142" s="45">
        <v>27.2</v>
      </c>
      <c r="M142" s="45">
        <v>264.7</v>
      </c>
      <c r="N142" s="45">
        <v>47.9</v>
      </c>
      <c r="O142" s="45">
        <v>3.92</v>
      </c>
    </row>
    <row r="143" spans="1:15" ht="15.75" x14ac:dyDescent="0.25">
      <c r="A143" s="45"/>
      <c r="B143" s="45" t="s">
        <v>79</v>
      </c>
      <c r="C143" s="45">
        <v>112</v>
      </c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</row>
    <row r="144" spans="1:15" ht="15.75" x14ac:dyDescent="0.25">
      <c r="A144" s="45"/>
      <c r="B144" s="45" t="s">
        <v>34</v>
      </c>
      <c r="C144" s="45">
        <v>7</v>
      </c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</row>
    <row r="145" spans="1:15" ht="15.75" x14ac:dyDescent="0.25">
      <c r="A145" s="45"/>
      <c r="B145" s="45" t="s">
        <v>41</v>
      </c>
      <c r="C145" s="45">
        <v>7</v>
      </c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</row>
    <row r="146" spans="1:15" ht="15.75" x14ac:dyDescent="0.25">
      <c r="A146" s="45"/>
      <c r="B146" s="45" t="s">
        <v>36</v>
      </c>
      <c r="C146" s="45">
        <v>13.64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</row>
    <row r="147" spans="1:15" ht="15.75" x14ac:dyDescent="0.25">
      <c r="A147" s="45"/>
      <c r="B147" s="45" t="s">
        <v>77</v>
      </c>
      <c r="C147" s="45">
        <v>103.64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</row>
    <row r="148" spans="1:15" ht="15.75" x14ac:dyDescent="0.25">
      <c r="A148" s="45">
        <v>496</v>
      </c>
      <c r="B148" s="44" t="s">
        <v>80</v>
      </c>
      <c r="C148" s="45">
        <v>200</v>
      </c>
      <c r="D148" s="45">
        <v>0.7</v>
      </c>
      <c r="E148" s="45">
        <v>0.3</v>
      </c>
      <c r="F148" s="45">
        <v>22.8</v>
      </c>
      <c r="G148" s="45">
        <v>97</v>
      </c>
      <c r="H148" s="45">
        <v>0</v>
      </c>
      <c r="I148" s="45">
        <v>70</v>
      </c>
      <c r="J148" s="45">
        <v>0</v>
      </c>
      <c r="K148" s="45">
        <v>0</v>
      </c>
      <c r="L148" s="45">
        <v>12</v>
      </c>
      <c r="M148" s="45">
        <v>3</v>
      </c>
      <c r="N148" s="45">
        <v>3</v>
      </c>
      <c r="O148" s="45">
        <v>1.5</v>
      </c>
    </row>
    <row r="149" spans="1:15" ht="15.75" x14ac:dyDescent="0.25">
      <c r="A149" s="45"/>
      <c r="B149" s="45" t="s">
        <v>81</v>
      </c>
      <c r="C149" s="45">
        <v>20</v>
      </c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</row>
    <row r="150" spans="1:15" ht="15.75" x14ac:dyDescent="0.25">
      <c r="A150" s="45"/>
      <c r="B150" s="45" t="s">
        <v>22</v>
      </c>
      <c r="C150" s="45">
        <v>10</v>
      </c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>
        <v>0.05</v>
      </c>
    </row>
    <row r="151" spans="1:15" ht="15.75" x14ac:dyDescent="0.25">
      <c r="A151" s="45"/>
      <c r="B151" s="44" t="s">
        <v>72</v>
      </c>
      <c r="C151" s="45">
        <v>40</v>
      </c>
      <c r="D151" s="45">
        <v>3.04</v>
      </c>
      <c r="E151" s="45">
        <v>0.32</v>
      </c>
      <c r="F151" s="45">
        <v>19.68</v>
      </c>
      <c r="G151" s="45">
        <v>94</v>
      </c>
      <c r="H151" s="45">
        <v>0.04</v>
      </c>
      <c r="I151" s="45">
        <v>0</v>
      </c>
      <c r="J151" s="45">
        <v>0</v>
      </c>
      <c r="K151" s="45">
        <v>0.44</v>
      </c>
      <c r="L151" s="45">
        <v>8</v>
      </c>
      <c r="M151" s="45">
        <v>26</v>
      </c>
      <c r="N151" s="45">
        <v>5.6</v>
      </c>
      <c r="O151" s="45">
        <v>0.44</v>
      </c>
    </row>
    <row r="152" spans="1:15" ht="15.75" x14ac:dyDescent="0.25">
      <c r="A152" s="45"/>
      <c r="B152" s="44" t="s">
        <v>73</v>
      </c>
      <c r="C152" s="45">
        <v>30</v>
      </c>
      <c r="D152" s="45">
        <v>2.64</v>
      </c>
      <c r="E152" s="45">
        <v>0.48</v>
      </c>
      <c r="F152" s="45">
        <v>13.36</v>
      </c>
      <c r="G152" s="45">
        <v>69.599999999999994</v>
      </c>
      <c r="H152" s="45">
        <v>7.0000000000000007E-2</v>
      </c>
      <c r="I152" s="45">
        <v>0</v>
      </c>
      <c r="J152" s="45">
        <v>0</v>
      </c>
      <c r="K152" s="45">
        <v>0.56000000000000005</v>
      </c>
      <c r="L152" s="45">
        <v>14</v>
      </c>
      <c r="M152" s="45">
        <v>63.2</v>
      </c>
      <c r="N152" s="45">
        <v>18.8</v>
      </c>
      <c r="O152" s="45">
        <v>1.56</v>
      </c>
    </row>
    <row r="153" spans="1:15" s="7" customFormat="1" ht="15.75" x14ac:dyDescent="0.25">
      <c r="A153" s="44"/>
      <c r="B153" s="44" t="s">
        <v>369</v>
      </c>
      <c r="C153" s="44"/>
      <c r="D153" s="44">
        <f>D154+D162+D169+D178+D181+D184+D185</f>
        <v>33.619999999999997</v>
      </c>
      <c r="E153" s="44">
        <f t="shared" ref="E153:O153" si="6">E154+E162+E169+E178+E181+E184+E185</f>
        <v>31.56</v>
      </c>
      <c r="F153" s="44">
        <f t="shared" si="6"/>
        <v>103.72666666666667</v>
      </c>
      <c r="G153" s="44">
        <f t="shared" si="6"/>
        <v>840.25</v>
      </c>
      <c r="H153" s="44">
        <f t="shared" si="6"/>
        <v>21.753333333333334</v>
      </c>
      <c r="I153" s="44">
        <f t="shared" si="6"/>
        <v>10.663333333333334</v>
      </c>
      <c r="J153" s="44">
        <f t="shared" si="6"/>
        <v>116.46666666666667</v>
      </c>
      <c r="K153" s="44">
        <f t="shared" si="6"/>
        <v>4.5833333333333339</v>
      </c>
      <c r="L153" s="44">
        <f t="shared" si="6"/>
        <v>141.11666666666667</v>
      </c>
      <c r="M153" s="44">
        <f t="shared" si="6"/>
        <v>466.06666666666666</v>
      </c>
      <c r="N153" s="44">
        <f t="shared" si="6"/>
        <v>117.83333333333333</v>
      </c>
      <c r="O153" s="44">
        <f t="shared" si="6"/>
        <v>7.7186666666666675</v>
      </c>
    </row>
    <row r="154" spans="1:15" ht="15.75" x14ac:dyDescent="0.25">
      <c r="A154" s="45">
        <v>2</v>
      </c>
      <c r="B154" s="44" t="s">
        <v>82</v>
      </c>
      <c r="C154" s="45">
        <v>60</v>
      </c>
      <c r="D154" s="46">
        <v>0.78</v>
      </c>
      <c r="E154" s="45">
        <v>3.72</v>
      </c>
      <c r="F154" s="45">
        <v>3.66</v>
      </c>
      <c r="G154" s="45">
        <v>51</v>
      </c>
      <c r="H154" s="45">
        <f>35.5/100*60</f>
        <v>21.299999999999997</v>
      </c>
      <c r="I154" s="45">
        <f>13.3/100*60</f>
        <v>7.98</v>
      </c>
      <c r="J154" s="45">
        <v>0</v>
      </c>
      <c r="K154" s="45">
        <f>2.9/100*60</f>
        <v>1.7399999999999998</v>
      </c>
      <c r="L154" s="45">
        <f>35.5/100*60</f>
        <v>21.299999999999997</v>
      </c>
      <c r="M154" s="45">
        <f>32.6/100*60</f>
        <v>19.560000000000002</v>
      </c>
      <c r="N154" s="45">
        <f>20.5/100*60</f>
        <v>12.299999999999999</v>
      </c>
      <c r="O154" s="45">
        <f>1.02/100*60</f>
        <v>0.6120000000000001</v>
      </c>
    </row>
    <row r="155" spans="1:15" ht="15.75" x14ac:dyDescent="0.25">
      <c r="A155" s="45"/>
      <c r="B155" s="45" t="s">
        <v>74</v>
      </c>
      <c r="C155" s="45">
        <v>14.76</v>
      </c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1:15" ht="15.75" x14ac:dyDescent="0.25">
      <c r="A156" s="45"/>
      <c r="B156" s="45" t="s">
        <v>47</v>
      </c>
      <c r="C156" s="45">
        <v>0.25</v>
      </c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1:15" ht="15.75" x14ac:dyDescent="0.25">
      <c r="A157" s="45"/>
      <c r="B157" s="45" t="s">
        <v>37</v>
      </c>
      <c r="C157" s="45">
        <v>16.38</v>
      </c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</row>
    <row r="158" spans="1:15" ht="15.75" x14ac:dyDescent="0.25">
      <c r="A158" s="45"/>
      <c r="B158" s="45" t="s">
        <v>47</v>
      </c>
      <c r="C158" s="45">
        <v>0.15</v>
      </c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</row>
    <row r="159" spans="1:15" ht="15.75" x14ac:dyDescent="0.25">
      <c r="A159" s="45"/>
      <c r="B159" s="45" t="s">
        <v>38</v>
      </c>
      <c r="C159" s="45">
        <v>30.24</v>
      </c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</row>
    <row r="160" spans="1:15" ht="15.75" x14ac:dyDescent="0.25">
      <c r="A160" s="45"/>
      <c r="B160" s="45" t="s">
        <v>42</v>
      </c>
      <c r="C160" s="45">
        <v>3</v>
      </c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</row>
    <row r="161" spans="1:15" ht="15.75" x14ac:dyDescent="0.25">
      <c r="A161" s="45"/>
      <c r="B161" s="45" t="s">
        <v>41</v>
      </c>
      <c r="C161" s="45">
        <v>3.6</v>
      </c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</row>
    <row r="162" spans="1:15" ht="15.75" x14ac:dyDescent="0.25">
      <c r="A162" s="45">
        <v>128</v>
      </c>
      <c r="B162" s="44" t="s">
        <v>295</v>
      </c>
      <c r="C162" s="45">
        <v>250</v>
      </c>
      <c r="D162" s="45">
        <v>7.47</v>
      </c>
      <c r="E162" s="45">
        <v>3.67</v>
      </c>
      <c r="F162" s="45">
        <f>64.8/1000*250</f>
        <v>16.2</v>
      </c>
      <c r="G162" s="45">
        <f>511/1000*250</f>
        <v>127.75</v>
      </c>
      <c r="H162" s="45">
        <f>1.04/1000*250</f>
        <v>0.26</v>
      </c>
      <c r="I162" s="45">
        <f>2/1000*250</f>
        <v>0.5</v>
      </c>
      <c r="J162" s="45">
        <f>80/1000*250</f>
        <v>20</v>
      </c>
      <c r="K162" s="45">
        <f>1.2/1000*250</f>
        <v>0.3</v>
      </c>
      <c r="L162" s="45">
        <f>187/1000*250</f>
        <v>46.75</v>
      </c>
      <c r="M162" s="45">
        <f>379.2/1000*250</f>
        <v>94.8</v>
      </c>
      <c r="N162" s="45">
        <f>147/1000*250</f>
        <v>36.75</v>
      </c>
      <c r="O162" s="45">
        <v>2.61</v>
      </c>
    </row>
    <row r="163" spans="1:15" ht="15.75" x14ac:dyDescent="0.25">
      <c r="A163" s="45"/>
      <c r="B163" s="45" t="s">
        <v>23</v>
      </c>
      <c r="C163" s="45">
        <f>20/1000*250</f>
        <v>5</v>
      </c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</row>
    <row r="164" spans="1:15" ht="15.75" x14ac:dyDescent="0.25">
      <c r="A164" s="45"/>
      <c r="B164" s="45" t="s">
        <v>36</v>
      </c>
      <c r="C164" s="45">
        <v>10.07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</row>
    <row r="165" spans="1:15" ht="15.75" x14ac:dyDescent="0.25">
      <c r="A165" s="45"/>
      <c r="B165" s="45" t="s">
        <v>37</v>
      </c>
      <c r="C165" s="45">
        <f>39/1000*250</f>
        <v>9.75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</row>
    <row r="166" spans="1:15" ht="15.75" x14ac:dyDescent="0.25">
      <c r="A166" s="45"/>
      <c r="B166" s="45" t="s">
        <v>83</v>
      </c>
      <c r="C166" s="45">
        <f>140.2/1000*250</f>
        <v>35.049999999999997</v>
      </c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</row>
    <row r="167" spans="1:15" ht="15.75" x14ac:dyDescent="0.25">
      <c r="A167" s="45"/>
      <c r="B167" s="45" t="s">
        <v>47</v>
      </c>
      <c r="C167" s="45">
        <f>8/1000*250</f>
        <v>2</v>
      </c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</row>
    <row r="168" spans="1:15" ht="15.75" x14ac:dyDescent="0.25">
      <c r="A168" s="45"/>
      <c r="B168" s="45" t="s">
        <v>58</v>
      </c>
      <c r="C168" s="45">
        <v>2.42</v>
      </c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</row>
    <row r="169" spans="1:15" ht="15.75" x14ac:dyDescent="0.25">
      <c r="A169" s="45">
        <v>367</v>
      </c>
      <c r="B169" s="44" t="s">
        <v>84</v>
      </c>
      <c r="C169" s="45">
        <v>100</v>
      </c>
      <c r="D169" s="45">
        <v>14.08</v>
      </c>
      <c r="E169" s="45">
        <f>18.3/1.2</f>
        <v>15.250000000000002</v>
      </c>
      <c r="F169" s="45">
        <f>3.8/1.2</f>
        <v>3.1666666666666665</v>
      </c>
      <c r="G169" s="45">
        <v>205.8</v>
      </c>
      <c r="H169" s="45">
        <f>0.04/1.2</f>
        <v>3.3333333333333333E-2</v>
      </c>
      <c r="I169" s="45">
        <f>1.3/1.2</f>
        <v>1.0833333333333335</v>
      </c>
      <c r="J169" s="45">
        <f>115.7/1.2</f>
        <v>96.416666666666671</v>
      </c>
      <c r="K169" s="45">
        <f>0.7/1.2</f>
        <v>0.58333333333333337</v>
      </c>
      <c r="L169" s="45">
        <f>29.6/1.2</f>
        <v>24.666666666666668</v>
      </c>
      <c r="M169" s="45">
        <f>83/1.2</f>
        <v>69.166666666666671</v>
      </c>
      <c r="N169" s="45">
        <f>21.7/1.2</f>
        <v>18.083333333333332</v>
      </c>
      <c r="O169" s="45">
        <f>1.52/1.2</f>
        <v>1.2666666666666668</v>
      </c>
    </row>
    <row r="170" spans="1:15" ht="15.75" x14ac:dyDescent="0.25">
      <c r="A170" s="45"/>
      <c r="B170" s="45" t="s">
        <v>284</v>
      </c>
      <c r="C170" s="45">
        <v>58.33</v>
      </c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</row>
    <row r="171" spans="1:15" ht="15.75" x14ac:dyDescent="0.25">
      <c r="A171" s="45"/>
      <c r="B171" s="45" t="s">
        <v>34</v>
      </c>
      <c r="C171" s="45">
        <v>7.75</v>
      </c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</row>
    <row r="172" spans="1:15" ht="15.75" x14ac:dyDescent="0.25">
      <c r="A172" s="45"/>
      <c r="B172" s="45" t="s">
        <v>23</v>
      </c>
      <c r="C172" s="45">
        <v>7.5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</row>
    <row r="173" spans="1:15" ht="15.75" x14ac:dyDescent="0.25">
      <c r="A173" s="45"/>
      <c r="B173" s="45" t="s">
        <v>35</v>
      </c>
      <c r="C173" s="45">
        <v>4.16</v>
      </c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</row>
    <row r="174" spans="1:15" ht="15.75" x14ac:dyDescent="0.25">
      <c r="A174" s="45"/>
      <c r="B174" s="45" t="s">
        <v>46</v>
      </c>
      <c r="C174" s="45">
        <v>1.58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</row>
    <row r="175" spans="1:15" ht="15.75" x14ac:dyDescent="0.25">
      <c r="A175" s="45"/>
      <c r="B175" s="45" t="s">
        <v>36</v>
      </c>
      <c r="C175" s="45">
        <v>6.5</v>
      </c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</row>
    <row r="176" spans="1:15" ht="15.75" x14ac:dyDescent="0.25">
      <c r="A176" s="45"/>
      <c r="B176" s="45" t="s">
        <v>37</v>
      </c>
      <c r="C176" s="45">
        <v>6</v>
      </c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</row>
    <row r="177" spans="1:15" ht="15.75" x14ac:dyDescent="0.25">
      <c r="A177" s="45"/>
      <c r="B177" s="45" t="s">
        <v>47</v>
      </c>
      <c r="C177" s="45">
        <v>0.5</v>
      </c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</row>
    <row r="178" spans="1:15" ht="15.75" x14ac:dyDescent="0.25">
      <c r="A178" s="45">
        <v>207</v>
      </c>
      <c r="B178" s="44" t="s">
        <v>85</v>
      </c>
      <c r="C178" s="45">
        <v>150</v>
      </c>
      <c r="D178" s="45">
        <v>5.51</v>
      </c>
      <c r="E178" s="45">
        <v>8.08</v>
      </c>
      <c r="F178" s="45">
        <v>37.76</v>
      </c>
      <c r="G178" s="45">
        <v>251.1</v>
      </c>
      <c r="H178" s="45">
        <v>0.05</v>
      </c>
      <c r="I178" s="45">
        <v>0</v>
      </c>
      <c r="J178" s="45">
        <v>0.05</v>
      </c>
      <c r="K178" s="45">
        <v>0.76</v>
      </c>
      <c r="L178" s="45">
        <v>23.4</v>
      </c>
      <c r="M178" s="45">
        <v>191.34</v>
      </c>
      <c r="N178" s="45">
        <v>23.4</v>
      </c>
      <c r="O178" s="45">
        <v>1.08</v>
      </c>
    </row>
    <row r="179" spans="1:15" ht="15.75" x14ac:dyDescent="0.25">
      <c r="A179" s="45"/>
      <c r="B179" s="45" t="s">
        <v>86</v>
      </c>
      <c r="C179" s="45">
        <v>35.07</v>
      </c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</row>
    <row r="180" spans="1:15" ht="15.75" x14ac:dyDescent="0.25">
      <c r="A180" s="45"/>
      <c r="B180" s="45" t="s">
        <v>23</v>
      </c>
      <c r="C180" s="45">
        <v>7.5</v>
      </c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</row>
    <row r="181" spans="1:15" ht="15.75" x14ac:dyDescent="0.25">
      <c r="A181" s="45">
        <v>497</v>
      </c>
      <c r="B181" s="44" t="s">
        <v>87</v>
      </c>
      <c r="C181" s="45">
        <v>200</v>
      </c>
      <c r="D181" s="45">
        <v>0.1</v>
      </c>
      <c r="E181" s="45">
        <v>0.04</v>
      </c>
      <c r="F181" s="45">
        <v>9.9</v>
      </c>
      <c r="G181" s="45">
        <v>41</v>
      </c>
      <c r="H181" s="45">
        <v>0</v>
      </c>
      <c r="I181" s="45">
        <v>1.1000000000000001</v>
      </c>
      <c r="J181" s="45">
        <v>0</v>
      </c>
      <c r="K181" s="45">
        <v>0.2</v>
      </c>
      <c r="L181" s="45">
        <v>3</v>
      </c>
      <c r="M181" s="45">
        <v>2</v>
      </c>
      <c r="N181" s="45">
        <v>2.9</v>
      </c>
      <c r="O181" s="45">
        <v>0.15</v>
      </c>
    </row>
    <row r="182" spans="1:15" ht="15.75" x14ac:dyDescent="0.25">
      <c r="A182" s="45"/>
      <c r="B182" s="45" t="s">
        <v>22</v>
      </c>
      <c r="C182" s="45">
        <v>10</v>
      </c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</row>
    <row r="183" spans="1:15" ht="15.75" x14ac:dyDescent="0.25">
      <c r="A183" s="45"/>
      <c r="B183" s="45" t="s">
        <v>88</v>
      </c>
      <c r="C183" s="45">
        <v>22</v>
      </c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</row>
    <row r="184" spans="1:15" ht="15.75" x14ac:dyDescent="0.25">
      <c r="A184" s="45"/>
      <c r="B184" s="44" t="s">
        <v>72</v>
      </c>
      <c r="C184" s="45">
        <v>40</v>
      </c>
      <c r="D184" s="45">
        <v>3.04</v>
      </c>
      <c r="E184" s="45">
        <v>0.32</v>
      </c>
      <c r="F184" s="45">
        <v>19.68</v>
      </c>
      <c r="G184" s="45">
        <v>94</v>
      </c>
      <c r="H184" s="45">
        <v>0.04</v>
      </c>
      <c r="I184" s="45">
        <v>0</v>
      </c>
      <c r="J184" s="45">
        <v>0</v>
      </c>
      <c r="K184" s="45">
        <v>0.44</v>
      </c>
      <c r="L184" s="45">
        <v>8</v>
      </c>
      <c r="M184" s="45">
        <v>26</v>
      </c>
      <c r="N184" s="45">
        <v>5.6</v>
      </c>
      <c r="O184" s="45">
        <v>0.44</v>
      </c>
    </row>
    <row r="185" spans="1:15" ht="15.75" x14ac:dyDescent="0.25">
      <c r="A185" s="45"/>
      <c r="B185" s="44" t="s">
        <v>73</v>
      </c>
      <c r="C185" s="45">
        <v>30</v>
      </c>
      <c r="D185" s="45">
        <v>2.64</v>
      </c>
      <c r="E185" s="45">
        <v>0.48</v>
      </c>
      <c r="F185" s="45">
        <v>13.36</v>
      </c>
      <c r="G185" s="45">
        <v>69.599999999999994</v>
      </c>
      <c r="H185" s="45">
        <v>7.0000000000000007E-2</v>
      </c>
      <c r="I185" s="45">
        <v>0</v>
      </c>
      <c r="J185" s="45">
        <v>0</v>
      </c>
      <c r="K185" s="45">
        <v>0.56000000000000005</v>
      </c>
      <c r="L185" s="45">
        <v>14</v>
      </c>
      <c r="M185" s="45">
        <v>63.2</v>
      </c>
      <c r="N185" s="45">
        <v>18.8</v>
      </c>
      <c r="O185" s="45">
        <v>1.56</v>
      </c>
    </row>
    <row r="186" spans="1:15" s="7" customFormat="1" ht="15.75" x14ac:dyDescent="0.25">
      <c r="A186" s="44"/>
      <c r="B186" s="44" t="s">
        <v>347</v>
      </c>
      <c r="C186" s="44"/>
      <c r="D186" s="44">
        <f>D187+D188</f>
        <v>5</v>
      </c>
      <c r="E186" s="44">
        <f t="shared" ref="E186:O186" si="7">E187+E188</f>
        <v>6.7</v>
      </c>
      <c r="F186" s="44">
        <f t="shared" si="7"/>
        <v>22.4</v>
      </c>
      <c r="G186" s="44">
        <f t="shared" si="7"/>
        <v>473</v>
      </c>
      <c r="H186" s="44">
        <f t="shared" si="7"/>
        <v>0.02</v>
      </c>
      <c r="I186" s="44">
        <f t="shared" si="7"/>
        <v>4</v>
      </c>
      <c r="J186" s="44">
        <f t="shared" si="7"/>
        <v>0</v>
      </c>
      <c r="K186" s="44">
        <f t="shared" si="7"/>
        <v>0</v>
      </c>
      <c r="L186" s="44">
        <f t="shared" si="7"/>
        <v>14</v>
      </c>
      <c r="M186" s="44">
        <f t="shared" si="7"/>
        <v>0</v>
      </c>
      <c r="N186" s="44">
        <f t="shared" si="7"/>
        <v>0</v>
      </c>
      <c r="O186" s="44">
        <f t="shared" si="7"/>
        <v>2.8</v>
      </c>
    </row>
    <row r="187" spans="1:15" ht="15.75" x14ac:dyDescent="0.25">
      <c r="A187" s="45"/>
      <c r="B187" s="44" t="s">
        <v>293</v>
      </c>
      <c r="C187" s="45">
        <v>100</v>
      </c>
      <c r="D187" s="45">
        <v>4</v>
      </c>
      <c r="E187" s="45">
        <v>6.5</v>
      </c>
      <c r="F187" s="45">
        <v>22.2</v>
      </c>
      <c r="G187" s="45">
        <v>381</v>
      </c>
      <c r="H187" s="45"/>
      <c r="I187" s="45"/>
      <c r="J187" s="45"/>
      <c r="K187" s="45"/>
      <c r="L187" s="45"/>
      <c r="M187" s="45"/>
      <c r="N187" s="45"/>
      <c r="O187" s="45"/>
    </row>
    <row r="188" spans="1:15" ht="15.75" x14ac:dyDescent="0.25">
      <c r="A188" s="45"/>
      <c r="B188" s="44" t="s">
        <v>89</v>
      </c>
      <c r="C188" s="45">
        <v>200</v>
      </c>
      <c r="D188" s="45">
        <v>1</v>
      </c>
      <c r="E188" s="45">
        <v>0.2</v>
      </c>
      <c r="F188" s="45">
        <v>0.2</v>
      </c>
      <c r="G188" s="45">
        <v>92</v>
      </c>
      <c r="H188" s="45">
        <v>0.02</v>
      </c>
      <c r="I188" s="45">
        <v>4</v>
      </c>
      <c r="J188" s="45">
        <v>0</v>
      </c>
      <c r="K188" s="45">
        <v>0</v>
      </c>
      <c r="L188" s="45">
        <v>14</v>
      </c>
      <c r="M188" s="45">
        <v>0</v>
      </c>
      <c r="N188" s="45">
        <v>0</v>
      </c>
      <c r="O188" s="45">
        <v>2.8</v>
      </c>
    </row>
    <row r="189" spans="1:15" s="7" customFormat="1" ht="15.75" x14ac:dyDescent="0.25">
      <c r="A189" s="44"/>
      <c r="B189" s="44" t="s">
        <v>66</v>
      </c>
      <c r="C189" s="44"/>
      <c r="D189" s="44">
        <f t="shared" ref="D189:O189" si="8">D104+D125+D153+D186</f>
        <v>91.91</v>
      </c>
      <c r="E189" s="44">
        <f t="shared" si="8"/>
        <v>89.78</v>
      </c>
      <c r="F189" s="44">
        <f t="shared" si="8"/>
        <v>313.00666666666666</v>
      </c>
      <c r="G189" s="44">
        <f t="shared" si="8"/>
        <v>2655</v>
      </c>
      <c r="H189" s="44">
        <f t="shared" si="8"/>
        <v>22.303333333333335</v>
      </c>
      <c r="I189" s="44">
        <f t="shared" si="8"/>
        <v>111.14333333333335</v>
      </c>
      <c r="J189" s="44">
        <f t="shared" si="8"/>
        <v>116.53666666666666</v>
      </c>
      <c r="K189" s="44">
        <f t="shared" si="8"/>
        <v>15.383333333333335</v>
      </c>
      <c r="L189" s="44">
        <f t="shared" si="8"/>
        <v>385.20666666666665</v>
      </c>
      <c r="M189" s="44">
        <f t="shared" si="8"/>
        <v>1211.1766666666667</v>
      </c>
      <c r="N189" s="44">
        <f t="shared" si="8"/>
        <v>301.96333333333331</v>
      </c>
      <c r="O189" s="44">
        <f t="shared" si="8"/>
        <v>22.468666666666667</v>
      </c>
    </row>
    <row r="190" spans="1:15" ht="15.75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</row>
    <row r="191" spans="1:15" ht="18" x14ac:dyDescent="0.25">
      <c r="A191" s="1" t="s">
        <v>102</v>
      </c>
    </row>
    <row r="193" spans="1:15" ht="15.75" x14ac:dyDescent="0.25">
      <c r="A193" s="2" t="s">
        <v>19</v>
      </c>
      <c r="B193" s="4"/>
      <c r="C193" s="4"/>
      <c r="D193" s="4"/>
      <c r="E193" s="4"/>
      <c r="F193" s="4"/>
      <c r="G193" s="5"/>
      <c r="H193" s="4"/>
      <c r="I193" s="4"/>
      <c r="J193" s="4"/>
      <c r="K193" s="4"/>
      <c r="L193" s="4"/>
      <c r="M193" s="4"/>
      <c r="N193" s="4"/>
      <c r="O193" s="4"/>
    </row>
    <row r="194" spans="1:15" ht="15" x14ac:dyDescent="0.2">
      <c r="A194" s="62" t="s">
        <v>17</v>
      </c>
      <c r="B194" s="61" t="s">
        <v>0</v>
      </c>
      <c r="C194" s="61" t="s">
        <v>1</v>
      </c>
      <c r="D194" s="63" t="s">
        <v>9</v>
      </c>
      <c r="E194" s="64"/>
      <c r="F194" s="65"/>
      <c r="G194" s="61" t="s">
        <v>10</v>
      </c>
      <c r="H194" s="61" t="s">
        <v>7</v>
      </c>
      <c r="I194" s="61"/>
      <c r="J194" s="61"/>
      <c r="K194" s="61"/>
      <c r="L194" s="61" t="s">
        <v>8</v>
      </c>
      <c r="M194" s="61"/>
      <c r="N194" s="61"/>
      <c r="O194" s="61"/>
    </row>
    <row r="195" spans="1:15" ht="30" x14ac:dyDescent="0.2">
      <c r="A195" s="62"/>
      <c r="B195" s="61"/>
      <c r="C195" s="61"/>
      <c r="D195" s="41" t="s">
        <v>2</v>
      </c>
      <c r="E195" s="42" t="s">
        <v>3</v>
      </c>
      <c r="F195" s="42" t="s">
        <v>4</v>
      </c>
      <c r="G195" s="61"/>
      <c r="H195" s="42" t="s">
        <v>11</v>
      </c>
      <c r="I195" s="42" t="s">
        <v>12</v>
      </c>
      <c r="J195" s="42" t="s">
        <v>13</v>
      </c>
      <c r="K195" s="42" t="s">
        <v>5</v>
      </c>
      <c r="L195" s="43" t="s">
        <v>14</v>
      </c>
      <c r="M195" s="42" t="s">
        <v>15</v>
      </c>
      <c r="N195" s="42" t="s">
        <v>6</v>
      </c>
      <c r="O195" s="42" t="s">
        <v>16</v>
      </c>
    </row>
    <row r="196" spans="1:15" s="7" customFormat="1" ht="15.75" x14ac:dyDescent="0.25">
      <c r="A196" s="44"/>
      <c r="B196" s="44" t="s">
        <v>366</v>
      </c>
      <c r="C196" s="44"/>
      <c r="D196" s="44">
        <f>D197+D200+D209+D213+D217+D218</f>
        <v>34.590000000000003</v>
      </c>
      <c r="E196" s="44">
        <f t="shared" ref="E196:O196" si="9">E197+E200+E209+E213+E217+E218</f>
        <v>39.904666666666664</v>
      </c>
      <c r="F196" s="44">
        <f t="shared" si="9"/>
        <v>85.53</v>
      </c>
      <c r="G196" s="44">
        <f t="shared" si="9"/>
        <v>847.87</v>
      </c>
      <c r="H196" s="44">
        <f t="shared" si="9"/>
        <v>0.24000000000000002</v>
      </c>
      <c r="I196" s="44">
        <f t="shared" si="9"/>
        <v>1.3029999999999999</v>
      </c>
      <c r="J196" s="44">
        <f t="shared" si="9"/>
        <v>79.2</v>
      </c>
      <c r="K196" s="44">
        <f t="shared" si="9"/>
        <v>2.1210617120106172</v>
      </c>
      <c r="L196" s="44">
        <f t="shared" si="9"/>
        <v>437.93</v>
      </c>
      <c r="M196" s="44">
        <f t="shared" si="9"/>
        <v>544.83000000000004</v>
      </c>
      <c r="N196" s="44">
        <f t="shared" si="9"/>
        <v>87.509999999999991</v>
      </c>
      <c r="O196" s="44">
        <f t="shared" si="9"/>
        <v>3.9109289980092901</v>
      </c>
    </row>
    <row r="197" spans="1:15" ht="15.75" x14ac:dyDescent="0.25">
      <c r="A197" s="45">
        <v>69</v>
      </c>
      <c r="B197" s="44" t="s">
        <v>90</v>
      </c>
      <c r="C197" s="45">
        <v>35</v>
      </c>
      <c r="D197" s="45">
        <v>1.6</v>
      </c>
      <c r="E197" s="45">
        <v>11</v>
      </c>
      <c r="F197" s="45">
        <v>10</v>
      </c>
      <c r="G197" s="45">
        <v>146</v>
      </c>
      <c r="H197" s="45">
        <v>0.02</v>
      </c>
      <c r="I197" s="45">
        <v>0</v>
      </c>
      <c r="J197" s="45">
        <v>60</v>
      </c>
      <c r="K197" s="45">
        <v>0.4</v>
      </c>
      <c r="L197" s="45">
        <v>7.6</v>
      </c>
      <c r="M197" s="45">
        <v>17.5</v>
      </c>
      <c r="N197" s="45">
        <v>2.8</v>
      </c>
      <c r="O197" s="45">
        <v>0.25</v>
      </c>
    </row>
    <row r="198" spans="1:15" ht="15.75" x14ac:dyDescent="0.25">
      <c r="A198" s="45"/>
      <c r="B198" s="45" t="s">
        <v>23</v>
      </c>
      <c r="C198" s="45">
        <v>15</v>
      </c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</row>
    <row r="199" spans="1:15" ht="15.75" x14ac:dyDescent="0.25">
      <c r="A199" s="45"/>
      <c r="B199" s="45" t="s">
        <v>27</v>
      </c>
      <c r="C199" s="45">
        <v>20</v>
      </c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</row>
    <row r="200" spans="1:15" ht="15.75" x14ac:dyDescent="0.25">
      <c r="A200" s="45">
        <v>279</v>
      </c>
      <c r="B200" s="44" t="s">
        <v>91</v>
      </c>
      <c r="C200" s="45">
        <v>150</v>
      </c>
      <c r="D200" s="45">
        <v>24</v>
      </c>
      <c r="E200" s="45">
        <v>25.2</v>
      </c>
      <c r="F200" s="45">
        <v>23.9</v>
      </c>
      <c r="G200" s="45">
        <v>424.99</v>
      </c>
      <c r="H200" s="45">
        <v>0.08</v>
      </c>
      <c r="I200" s="45">
        <v>0.6</v>
      </c>
      <c r="J200" s="45">
        <v>0.2</v>
      </c>
      <c r="K200" s="45">
        <v>0.71</v>
      </c>
      <c r="L200" s="45">
        <v>297</v>
      </c>
      <c r="M200" s="45">
        <v>347</v>
      </c>
      <c r="N200" s="45">
        <v>38</v>
      </c>
      <c r="O200" s="45">
        <v>1.01</v>
      </c>
    </row>
    <row r="201" spans="1:15" ht="15.75" x14ac:dyDescent="0.25">
      <c r="A201" s="45"/>
      <c r="B201" s="45" t="s">
        <v>92</v>
      </c>
      <c r="C201" s="45">
        <v>10</v>
      </c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</row>
    <row r="202" spans="1:15" ht="15.75" x14ac:dyDescent="0.25">
      <c r="A202" s="45"/>
      <c r="B202" s="45" t="s">
        <v>93</v>
      </c>
      <c r="C202" s="45">
        <v>5</v>
      </c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</row>
    <row r="203" spans="1:15" ht="15.75" x14ac:dyDescent="0.25">
      <c r="A203" s="45"/>
      <c r="B203" s="45" t="s">
        <v>22</v>
      </c>
      <c r="C203" s="45">
        <v>10</v>
      </c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</row>
    <row r="204" spans="1:15" ht="15.75" x14ac:dyDescent="0.25">
      <c r="A204" s="45"/>
      <c r="B204" s="45" t="s">
        <v>25</v>
      </c>
      <c r="C204" s="45">
        <v>39</v>
      </c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</row>
    <row r="205" spans="1:15" ht="15.75" x14ac:dyDescent="0.25">
      <c r="A205" s="45"/>
      <c r="B205" s="45" t="s">
        <v>94</v>
      </c>
      <c r="C205" s="45">
        <v>140</v>
      </c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</row>
    <row r="206" spans="1:15" ht="15.75" x14ac:dyDescent="0.25">
      <c r="A206" s="45"/>
      <c r="B206" s="45" t="s">
        <v>35</v>
      </c>
      <c r="C206" s="45">
        <v>5</v>
      </c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1:15" ht="15.75" x14ac:dyDescent="0.25">
      <c r="A207" s="45"/>
      <c r="B207" s="45" t="s">
        <v>95</v>
      </c>
      <c r="C207" s="45">
        <v>1.4999999999999999E-2</v>
      </c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1:15" ht="15.75" x14ac:dyDescent="0.25">
      <c r="A208" s="45"/>
      <c r="B208" s="45" t="s">
        <v>96</v>
      </c>
      <c r="C208" s="45">
        <v>4.5999999999999996</v>
      </c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</row>
    <row r="209" spans="1:15" ht="15.75" x14ac:dyDescent="0.25">
      <c r="A209" s="45">
        <v>435</v>
      </c>
      <c r="B209" s="44" t="s">
        <v>97</v>
      </c>
      <c r="C209" s="45">
        <v>35</v>
      </c>
      <c r="D209" s="45">
        <v>0.01</v>
      </c>
      <c r="E209" s="45">
        <f>0.01/75*35</f>
        <v>4.6666666666666671E-3</v>
      </c>
      <c r="F209" s="45">
        <v>4.79</v>
      </c>
      <c r="G209" s="45">
        <v>19.28</v>
      </c>
      <c r="H209" s="45">
        <v>0</v>
      </c>
      <c r="I209" s="45">
        <v>3.0000000000000001E-3</v>
      </c>
      <c r="J209" s="45">
        <v>0</v>
      </c>
      <c r="K209" s="45">
        <f>0.08/75.35</f>
        <v>1.0617120106171203E-3</v>
      </c>
      <c r="L209" s="45">
        <v>0.03</v>
      </c>
      <c r="M209" s="45">
        <v>0.03</v>
      </c>
      <c r="N209" s="45">
        <v>0.01</v>
      </c>
      <c r="O209" s="45">
        <f>0.07/75.35</f>
        <v>9.2899800928998024E-4</v>
      </c>
    </row>
    <row r="210" spans="1:15" ht="15.75" x14ac:dyDescent="0.25">
      <c r="A210" s="45"/>
      <c r="B210" s="45" t="s">
        <v>22</v>
      </c>
      <c r="C210" s="45">
        <f>9/75*35</f>
        <v>4.2</v>
      </c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</row>
    <row r="211" spans="1:15" ht="15.75" x14ac:dyDescent="0.25">
      <c r="A211" s="45"/>
      <c r="B211" s="45" t="s">
        <v>98</v>
      </c>
      <c r="C211" s="45">
        <f>2.25/75*35</f>
        <v>1.05</v>
      </c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</row>
    <row r="212" spans="1:15" ht="15.75" x14ac:dyDescent="0.25">
      <c r="A212" s="45"/>
      <c r="B212" s="45" t="s">
        <v>88</v>
      </c>
      <c r="C212" s="45">
        <v>4</v>
      </c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</row>
    <row r="213" spans="1:15" ht="15.75" x14ac:dyDescent="0.25">
      <c r="A213" s="45">
        <v>462</v>
      </c>
      <c r="B213" s="44" t="s">
        <v>99</v>
      </c>
      <c r="C213" s="45">
        <v>200</v>
      </c>
      <c r="D213" s="45">
        <v>3.3</v>
      </c>
      <c r="E213" s="45">
        <v>2.9</v>
      </c>
      <c r="F213" s="45">
        <v>13.8</v>
      </c>
      <c r="G213" s="45">
        <v>94</v>
      </c>
      <c r="H213" s="45">
        <v>0.03</v>
      </c>
      <c r="I213" s="45">
        <v>0.7</v>
      </c>
      <c r="J213" s="45">
        <v>19</v>
      </c>
      <c r="K213" s="45">
        <v>0.01</v>
      </c>
      <c r="L213" s="45">
        <v>111.3</v>
      </c>
      <c r="M213" s="45">
        <v>91.1</v>
      </c>
      <c r="N213" s="45">
        <v>22.3</v>
      </c>
      <c r="O213" s="45">
        <v>0.65</v>
      </c>
    </row>
    <row r="214" spans="1:15" ht="15.75" x14ac:dyDescent="0.25">
      <c r="A214" s="45"/>
      <c r="B214" s="45" t="s">
        <v>22</v>
      </c>
      <c r="C214" s="45">
        <v>10</v>
      </c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</row>
    <row r="215" spans="1:15" ht="15.75" x14ac:dyDescent="0.25">
      <c r="A215" s="45"/>
      <c r="B215" s="45" t="s">
        <v>100</v>
      </c>
      <c r="C215" s="45">
        <v>2.4</v>
      </c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</row>
    <row r="216" spans="1:15" ht="15.75" x14ac:dyDescent="0.25">
      <c r="A216" s="45"/>
      <c r="B216" s="45" t="s">
        <v>25</v>
      </c>
      <c r="C216" s="45">
        <v>100</v>
      </c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</row>
    <row r="217" spans="1:15" ht="15.75" x14ac:dyDescent="0.25">
      <c r="A217" s="45"/>
      <c r="B217" s="44" t="s">
        <v>73</v>
      </c>
      <c r="C217" s="45">
        <v>30</v>
      </c>
      <c r="D217" s="45">
        <v>2.64</v>
      </c>
      <c r="E217" s="45">
        <v>0.48</v>
      </c>
      <c r="F217" s="45">
        <v>13.36</v>
      </c>
      <c r="G217" s="45">
        <v>69.599999999999994</v>
      </c>
      <c r="H217" s="45">
        <v>7.0000000000000007E-2</v>
      </c>
      <c r="I217" s="45">
        <v>0</v>
      </c>
      <c r="J217" s="45">
        <v>0</v>
      </c>
      <c r="K217" s="45">
        <v>0.56000000000000005</v>
      </c>
      <c r="L217" s="45">
        <v>14</v>
      </c>
      <c r="M217" s="45">
        <v>63.2</v>
      </c>
      <c r="N217" s="45">
        <v>18.8</v>
      </c>
      <c r="O217" s="45">
        <v>1.56</v>
      </c>
    </row>
    <row r="218" spans="1:15" ht="15.75" x14ac:dyDescent="0.25">
      <c r="A218" s="45"/>
      <c r="B218" s="44" t="s">
        <v>27</v>
      </c>
      <c r="C218" s="45">
        <v>40</v>
      </c>
      <c r="D218" s="45">
        <v>3.04</v>
      </c>
      <c r="E218" s="45">
        <v>0.32</v>
      </c>
      <c r="F218" s="45">
        <v>19.68</v>
      </c>
      <c r="G218" s="45">
        <v>94</v>
      </c>
      <c r="H218" s="45">
        <v>0.04</v>
      </c>
      <c r="I218" s="45">
        <v>0</v>
      </c>
      <c r="J218" s="45">
        <v>0</v>
      </c>
      <c r="K218" s="45">
        <v>0.44</v>
      </c>
      <c r="L218" s="45">
        <v>8</v>
      </c>
      <c r="M218" s="45">
        <v>26</v>
      </c>
      <c r="N218" s="45">
        <v>5.6</v>
      </c>
      <c r="O218" s="45">
        <v>0.44</v>
      </c>
    </row>
    <row r="219" spans="1:15" ht="15.75" x14ac:dyDescent="0.25">
      <c r="A219" s="45"/>
      <c r="B219" s="44" t="s">
        <v>357</v>
      </c>
      <c r="C219" s="45">
        <v>90</v>
      </c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</row>
    <row r="220" spans="1:15" s="7" customFormat="1" ht="15.75" x14ac:dyDescent="0.25">
      <c r="A220" s="44"/>
      <c r="B220" s="44" t="s">
        <v>353</v>
      </c>
      <c r="C220" s="44"/>
      <c r="D220" s="44">
        <f t="shared" ref="D220:O220" si="10">D221+D229+D238+D246+D250+D251</f>
        <v>33.44</v>
      </c>
      <c r="E220" s="44">
        <f t="shared" si="10"/>
        <v>34.449999999999996</v>
      </c>
      <c r="F220" s="44">
        <f t="shared" si="10"/>
        <v>88.22</v>
      </c>
      <c r="G220" s="44">
        <f t="shared" si="10"/>
        <v>798.95</v>
      </c>
      <c r="H220" s="44">
        <f t="shared" si="10"/>
        <v>0.318</v>
      </c>
      <c r="I220" s="44">
        <f t="shared" si="10"/>
        <v>18.34</v>
      </c>
      <c r="J220" s="44">
        <f t="shared" si="10"/>
        <v>77.42</v>
      </c>
      <c r="K220" s="44">
        <f t="shared" si="10"/>
        <v>8.1999999999999993</v>
      </c>
      <c r="L220" s="44">
        <f t="shared" si="10"/>
        <v>102.05</v>
      </c>
      <c r="M220" s="44">
        <f t="shared" si="10"/>
        <v>302.44</v>
      </c>
      <c r="N220" s="44">
        <f t="shared" si="10"/>
        <v>97.919999999999987</v>
      </c>
      <c r="O220" s="44">
        <f t="shared" si="10"/>
        <v>5.4580000000000002</v>
      </c>
    </row>
    <row r="221" spans="1:15" ht="15.75" x14ac:dyDescent="0.25">
      <c r="A221" s="45">
        <v>53</v>
      </c>
      <c r="B221" s="44" t="s">
        <v>103</v>
      </c>
      <c r="C221" s="45">
        <v>60</v>
      </c>
      <c r="D221" s="45">
        <f>2.3/100*60</f>
        <v>1.38</v>
      </c>
      <c r="E221" s="45">
        <f>5.5/100*60</f>
        <v>3.3</v>
      </c>
      <c r="F221" s="45">
        <f>11.8/100*60</f>
        <v>7.08</v>
      </c>
      <c r="G221" s="45">
        <f>106/100*60</f>
        <v>63.6</v>
      </c>
      <c r="H221" s="45">
        <f>0.03/100*60</f>
        <v>1.7999999999999999E-2</v>
      </c>
      <c r="I221" s="45">
        <f>10.7/100*60</f>
        <v>6.42</v>
      </c>
      <c r="J221" s="45">
        <v>0</v>
      </c>
      <c r="K221" s="45">
        <f>3.8/100*60</f>
        <v>2.2799999999999998</v>
      </c>
      <c r="L221" s="45">
        <f>38.8/100*60</f>
        <v>23.279999999999998</v>
      </c>
      <c r="M221" s="45">
        <f>60.3/100*60</f>
        <v>36.18</v>
      </c>
      <c r="N221" s="45">
        <f>30.7/100*60</f>
        <v>18.419999999999998</v>
      </c>
      <c r="O221" s="45">
        <f>1.73/100*60</f>
        <v>1.038</v>
      </c>
    </row>
    <row r="222" spans="1:15" ht="15.75" x14ac:dyDescent="0.25">
      <c r="A222" s="45"/>
      <c r="B222" s="45" t="s">
        <v>42</v>
      </c>
      <c r="C222" s="45">
        <f>20/100*60</f>
        <v>12</v>
      </c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</row>
    <row r="223" spans="1:15" ht="15.75" x14ac:dyDescent="0.25">
      <c r="A223" s="45"/>
      <c r="B223" s="45" t="s">
        <v>36</v>
      </c>
      <c r="C223" s="45">
        <f>17.6/100*60</f>
        <v>10.56</v>
      </c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</row>
    <row r="224" spans="1:15" ht="15.75" x14ac:dyDescent="0.25">
      <c r="A224" s="45"/>
      <c r="B224" s="45" t="s">
        <v>41</v>
      </c>
      <c r="C224" s="45">
        <f>6/100*60</f>
        <v>3.5999999999999996</v>
      </c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</row>
    <row r="225" spans="1:15" ht="15.75" x14ac:dyDescent="0.25">
      <c r="A225" s="45"/>
      <c r="B225" s="45" t="s">
        <v>34</v>
      </c>
      <c r="C225" s="45">
        <f>28/100*60</f>
        <v>16.8</v>
      </c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</row>
    <row r="226" spans="1:15" ht="15.75" x14ac:dyDescent="0.25">
      <c r="A226" s="45"/>
      <c r="B226" s="45" t="s">
        <v>22</v>
      </c>
      <c r="C226" s="45">
        <f>1.2/100*60</f>
        <v>0.72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</row>
    <row r="227" spans="1:15" ht="15.75" x14ac:dyDescent="0.25">
      <c r="A227" s="45"/>
      <c r="B227" s="45" t="s">
        <v>33</v>
      </c>
      <c r="C227" s="45">
        <f>76.8/100*60</f>
        <v>46.08</v>
      </c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</row>
    <row r="228" spans="1:15" ht="15.75" x14ac:dyDescent="0.25">
      <c r="A228" s="45"/>
      <c r="B228" s="45" t="s">
        <v>47</v>
      </c>
      <c r="C228" s="45">
        <f>0.25/100*60</f>
        <v>0.15</v>
      </c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</row>
    <row r="229" spans="1:15" ht="15.75" x14ac:dyDescent="0.25">
      <c r="A229" s="45">
        <v>130</v>
      </c>
      <c r="B229" s="44" t="s">
        <v>104</v>
      </c>
      <c r="C229" s="45">
        <v>250</v>
      </c>
      <c r="D229" s="45">
        <v>4.2300000000000004</v>
      </c>
      <c r="E229" s="45">
        <v>3.6</v>
      </c>
      <c r="F229" s="45">
        <v>15</v>
      </c>
      <c r="G229" s="45">
        <v>110.2</v>
      </c>
      <c r="H229" s="45">
        <v>0</v>
      </c>
      <c r="I229" s="45">
        <v>0.46</v>
      </c>
      <c r="J229" s="45">
        <v>0</v>
      </c>
      <c r="K229" s="45">
        <v>0</v>
      </c>
      <c r="L229" s="45">
        <v>0.5</v>
      </c>
      <c r="M229" s="45">
        <v>1.4</v>
      </c>
      <c r="N229" s="45">
        <v>0.52</v>
      </c>
      <c r="O229" s="45">
        <v>0.03</v>
      </c>
    </row>
    <row r="230" spans="1:15" ht="15.75" x14ac:dyDescent="0.25">
      <c r="A230" s="45"/>
      <c r="B230" s="45" t="s">
        <v>77</v>
      </c>
      <c r="C230" s="45">
        <v>50</v>
      </c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</row>
    <row r="231" spans="1:15" ht="15.75" x14ac:dyDescent="0.25">
      <c r="A231" s="45"/>
      <c r="B231" s="45" t="s">
        <v>36</v>
      </c>
      <c r="C231" s="45">
        <v>10</v>
      </c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</row>
    <row r="232" spans="1:15" ht="15.75" x14ac:dyDescent="0.25">
      <c r="A232" s="45"/>
      <c r="B232" s="45" t="s">
        <v>37</v>
      </c>
      <c r="C232" s="45">
        <v>10</v>
      </c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</row>
    <row r="233" spans="1:15" ht="15.75" x14ac:dyDescent="0.25">
      <c r="A233" s="45"/>
      <c r="B233" s="45" t="s">
        <v>41</v>
      </c>
      <c r="C233" s="45">
        <v>2.5</v>
      </c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</row>
    <row r="234" spans="1:15" ht="15.75" x14ac:dyDescent="0.25">
      <c r="A234" s="45"/>
      <c r="B234" s="45" t="s">
        <v>47</v>
      </c>
      <c r="C234" s="45">
        <v>0.22</v>
      </c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</row>
    <row r="235" spans="1:15" ht="15.75" x14ac:dyDescent="0.25">
      <c r="A235" s="45"/>
      <c r="B235" s="45" t="s">
        <v>46</v>
      </c>
      <c r="C235" s="45">
        <v>7.7</v>
      </c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</row>
    <row r="236" spans="1:15" ht="15.75" x14ac:dyDescent="0.25">
      <c r="A236" s="45"/>
      <c r="B236" s="45" t="s">
        <v>23</v>
      </c>
      <c r="C236" s="45">
        <v>0.88</v>
      </c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</row>
    <row r="237" spans="1:15" ht="15.75" x14ac:dyDescent="0.25">
      <c r="A237" s="45"/>
      <c r="B237" s="45" t="s">
        <v>96</v>
      </c>
      <c r="C237" s="45">
        <v>2.2000000000000002</v>
      </c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</row>
    <row r="238" spans="1:15" ht="15.75" x14ac:dyDescent="0.25">
      <c r="A238" s="45">
        <v>376</v>
      </c>
      <c r="B238" s="44" t="s">
        <v>105</v>
      </c>
      <c r="C238" s="45">
        <v>230</v>
      </c>
      <c r="D238" s="45">
        <v>21.65</v>
      </c>
      <c r="E238" s="45">
        <v>26.72</v>
      </c>
      <c r="F238" s="45">
        <v>18.2</v>
      </c>
      <c r="G238" s="45">
        <v>399.55</v>
      </c>
      <c r="H238" s="45">
        <v>0.18</v>
      </c>
      <c r="I238" s="45">
        <v>11.26</v>
      </c>
      <c r="J238" s="45">
        <v>77.42</v>
      </c>
      <c r="K238" s="45">
        <v>4.32</v>
      </c>
      <c r="L238" s="45">
        <v>38.770000000000003</v>
      </c>
      <c r="M238" s="45">
        <v>158.86000000000001</v>
      </c>
      <c r="N238" s="45">
        <v>44.58</v>
      </c>
      <c r="O238" s="45">
        <v>2.06</v>
      </c>
    </row>
    <row r="239" spans="1:15" ht="15.75" x14ac:dyDescent="0.25">
      <c r="A239" s="45"/>
      <c r="B239" s="45" t="s">
        <v>285</v>
      </c>
      <c r="C239" s="45">
        <v>110.4</v>
      </c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</row>
    <row r="240" spans="1:15" ht="15.75" x14ac:dyDescent="0.25">
      <c r="A240" s="45"/>
      <c r="B240" s="45" t="s">
        <v>34</v>
      </c>
      <c r="C240" s="45">
        <v>7.86</v>
      </c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</row>
    <row r="241" spans="1:15" ht="15.75" x14ac:dyDescent="0.25">
      <c r="A241" s="45"/>
      <c r="B241" s="45" t="s">
        <v>46</v>
      </c>
      <c r="C241" s="45">
        <v>1.31</v>
      </c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</row>
    <row r="242" spans="1:15" ht="15.75" x14ac:dyDescent="0.25">
      <c r="A242" s="45"/>
      <c r="B242" s="45" t="s">
        <v>36</v>
      </c>
      <c r="C242" s="45">
        <v>13.1</v>
      </c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</row>
    <row r="243" spans="1:15" ht="15.75" x14ac:dyDescent="0.25">
      <c r="A243" s="45"/>
      <c r="B243" s="45" t="s">
        <v>37</v>
      </c>
      <c r="C243" s="45">
        <v>21.35</v>
      </c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</row>
    <row r="244" spans="1:15" ht="15.75" x14ac:dyDescent="0.25">
      <c r="A244" s="45"/>
      <c r="B244" s="45" t="s">
        <v>77</v>
      </c>
      <c r="C244" s="45">
        <v>105</v>
      </c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</row>
    <row r="245" spans="1:15" ht="15.75" x14ac:dyDescent="0.25">
      <c r="A245" s="45"/>
      <c r="B245" s="45" t="s">
        <v>41</v>
      </c>
      <c r="C245" s="45">
        <v>7.86</v>
      </c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</row>
    <row r="246" spans="1:15" ht="15.75" x14ac:dyDescent="0.25">
      <c r="A246" s="45">
        <v>482</v>
      </c>
      <c r="B246" s="44" t="s">
        <v>168</v>
      </c>
      <c r="C246" s="45">
        <v>200</v>
      </c>
      <c r="D246" s="45">
        <v>0.5</v>
      </c>
      <c r="E246" s="45">
        <v>0.03</v>
      </c>
      <c r="F246" s="45">
        <v>14.9</v>
      </c>
      <c r="G246" s="45">
        <v>62</v>
      </c>
      <c r="H246" s="45">
        <v>0.01</v>
      </c>
      <c r="I246" s="45">
        <v>0.2</v>
      </c>
      <c r="J246" s="45">
        <v>0</v>
      </c>
      <c r="K246" s="45">
        <v>0.6</v>
      </c>
      <c r="L246" s="45">
        <v>17.5</v>
      </c>
      <c r="M246" s="45">
        <v>16.8</v>
      </c>
      <c r="N246" s="45">
        <v>10</v>
      </c>
      <c r="O246" s="45">
        <v>0.33</v>
      </c>
    </row>
    <row r="247" spans="1:15" ht="15.75" x14ac:dyDescent="0.25">
      <c r="A247" s="45"/>
      <c r="B247" s="45" t="s">
        <v>22</v>
      </c>
      <c r="C247" s="45">
        <v>15</v>
      </c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</row>
    <row r="248" spans="1:15" ht="15.75" x14ac:dyDescent="0.25">
      <c r="A248" s="45"/>
      <c r="B248" s="45" t="s">
        <v>106</v>
      </c>
      <c r="C248" s="45">
        <v>9</v>
      </c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</row>
    <row r="249" spans="1:15" ht="15.75" x14ac:dyDescent="0.25">
      <c r="A249" s="45"/>
      <c r="B249" s="45" t="s">
        <v>122</v>
      </c>
      <c r="C249" s="45">
        <v>20</v>
      </c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</row>
    <row r="250" spans="1:15" ht="15.75" x14ac:dyDescent="0.25">
      <c r="A250" s="45"/>
      <c r="B250" s="44" t="s">
        <v>107</v>
      </c>
      <c r="C250" s="45">
        <v>40</v>
      </c>
      <c r="D250" s="45">
        <v>3.04</v>
      </c>
      <c r="E250" s="45">
        <v>0.32</v>
      </c>
      <c r="F250" s="45">
        <v>19.68</v>
      </c>
      <c r="G250" s="45">
        <v>94</v>
      </c>
      <c r="H250" s="45">
        <v>0.04</v>
      </c>
      <c r="I250" s="45">
        <v>0</v>
      </c>
      <c r="J250" s="45">
        <v>0</v>
      </c>
      <c r="K250" s="45">
        <v>0.44</v>
      </c>
      <c r="L250" s="45">
        <v>8</v>
      </c>
      <c r="M250" s="45">
        <v>26</v>
      </c>
      <c r="N250" s="45">
        <v>5.6</v>
      </c>
      <c r="O250" s="45">
        <v>0.44</v>
      </c>
    </row>
    <row r="251" spans="1:15" ht="15.75" x14ac:dyDescent="0.25">
      <c r="A251" s="45"/>
      <c r="B251" s="44" t="s">
        <v>73</v>
      </c>
      <c r="C251" s="45">
        <v>30</v>
      </c>
      <c r="D251" s="45">
        <v>2.64</v>
      </c>
      <c r="E251" s="45">
        <v>0.48</v>
      </c>
      <c r="F251" s="45">
        <v>13.36</v>
      </c>
      <c r="G251" s="45">
        <v>69.599999999999994</v>
      </c>
      <c r="H251" s="45">
        <v>7.0000000000000007E-2</v>
      </c>
      <c r="I251" s="45">
        <v>0</v>
      </c>
      <c r="J251" s="45">
        <v>0</v>
      </c>
      <c r="K251" s="45">
        <v>0.56000000000000005</v>
      </c>
      <c r="L251" s="45">
        <v>14</v>
      </c>
      <c r="M251" s="45">
        <v>63.2</v>
      </c>
      <c r="N251" s="45">
        <v>18.8</v>
      </c>
      <c r="O251" s="45">
        <v>1.56</v>
      </c>
    </row>
    <row r="252" spans="1:15" s="7" customFormat="1" ht="15.75" x14ac:dyDescent="0.25">
      <c r="A252" s="44"/>
      <c r="B252" s="44" t="s">
        <v>349</v>
      </c>
      <c r="C252" s="44"/>
      <c r="D252" s="44">
        <f t="shared" ref="D252:O252" si="11">D253+D255+D263+D271+D274+D275</f>
        <v>30.21</v>
      </c>
      <c r="E252" s="44">
        <f t="shared" si="11"/>
        <v>29.310000000000002</v>
      </c>
      <c r="F252" s="44">
        <f t="shared" si="11"/>
        <v>85.46</v>
      </c>
      <c r="G252" s="44">
        <f t="shared" si="11"/>
        <v>729.78000000000009</v>
      </c>
      <c r="H252" s="44">
        <f t="shared" si="11"/>
        <v>0.47</v>
      </c>
      <c r="I252" s="44">
        <f t="shared" si="11"/>
        <v>68.459999999999994</v>
      </c>
      <c r="J252" s="44">
        <f t="shared" si="11"/>
        <v>0</v>
      </c>
      <c r="K252" s="44">
        <f t="shared" si="11"/>
        <v>6.52</v>
      </c>
      <c r="L252" s="44">
        <f t="shared" si="11"/>
        <v>112.33</v>
      </c>
      <c r="M252" s="44">
        <f t="shared" si="11"/>
        <v>422.34999999999997</v>
      </c>
      <c r="N252" s="44">
        <f t="shared" si="11"/>
        <v>126.95</v>
      </c>
      <c r="O252" s="44">
        <f t="shared" si="11"/>
        <v>7.93</v>
      </c>
    </row>
    <row r="253" spans="1:15" ht="15.75" x14ac:dyDescent="0.25">
      <c r="A253" s="45">
        <v>148</v>
      </c>
      <c r="B253" s="44" t="s">
        <v>108</v>
      </c>
      <c r="C253" s="45">
        <v>60</v>
      </c>
      <c r="D253" s="45">
        <v>1.1000000000000001</v>
      </c>
      <c r="E253" s="45">
        <v>0.2</v>
      </c>
      <c r="F253" s="45">
        <v>3.8</v>
      </c>
      <c r="G253" s="45">
        <v>24</v>
      </c>
      <c r="H253" s="45">
        <v>0.06</v>
      </c>
      <c r="I253" s="45">
        <v>25</v>
      </c>
      <c r="J253" s="45">
        <v>0</v>
      </c>
      <c r="K253" s="45">
        <v>0.7</v>
      </c>
      <c r="L253" s="45">
        <v>14</v>
      </c>
      <c r="M253" s="45">
        <v>26</v>
      </c>
      <c r="N253" s="45">
        <v>20</v>
      </c>
      <c r="O253" s="45">
        <v>0.9</v>
      </c>
    </row>
    <row r="254" spans="1:15" ht="15.75" x14ac:dyDescent="0.25">
      <c r="A254" s="45"/>
      <c r="B254" s="45" t="s">
        <v>109</v>
      </c>
      <c r="C254" s="45">
        <v>60</v>
      </c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</row>
    <row r="255" spans="1:15" ht="15.75" x14ac:dyDescent="0.25">
      <c r="A255" s="45">
        <v>100</v>
      </c>
      <c r="B255" s="44" t="s">
        <v>110</v>
      </c>
      <c r="C255" s="45">
        <v>250</v>
      </c>
      <c r="D255" s="45">
        <v>4.63</v>
      </c>
      <c r="E255" s="45">
        <v>6.73</v>
      </c>
      <c r="F255" s="45">
        <v>17.420000000000002</v>
      </c>
      <c r="G255" s="45">
        <v>147.38</v>
      </c>
      <c r="H255" s="45">
        <v>0.13</v>
      </c>
      <c r="I255" s="45">
        <v>16.8</v>
      </c>
      <c r="J255" s="45">
        <v>0</v>
      </c>
      <c r="K255" s="45">
        <v>0.23</v>
      </c>
      <c r="L255" s="45">
        <v>31.78</v>
      </c>
      <c r="M255" s="45">
        <v>58.75</v>
      </c>
      <c r="N255" s="45">
        <v>21.53</v>
      </c>
      <c r="O255" s="45">
        <v>1</v>
      </c>
    </row>
    <row r="256" spans="1:15" ht="15.75" x14ac:dyDescent="0.25">
      <c r="A256" s="45"/>
      <c r="B256" s="45" t="s">
        <v>86</v>
      </c>
      <c r="C256" s="45">
        <v>5</v>
      </c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</row>
    <row r="257" spans="1:15" ht="15.75" x14ac:dyDescent="0.25">
      <c r="A257" s="45"/>
      <c r="B257" s="45" t="s">
        <v>35</v>
      </c>
      <c r="C257" s="45">
        <v>12.5</v>
      </c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</row>
    <row r="258" spans="1:15" ht="15.75" x14ac:dyDescent="0.25">
      <c r="A258" s="45"/>
      <c r="B258" s="45" t="s">
        <v>54</v>
      </c>
      <c r="C258" s="45">
        <v>15.07</v>
      </c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</row>
    <row r="259" spans="1:15" ht="15.75" x14ac:dyDescent="0.25">
      <c r="A259" s="45"/>
      <c r="B259" s="45" t="s">
        <v>36</v>
      </c>
      <c r="C259" s="47">
        <v>5.0199999999999996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</row>
    <row r="260" spans="1:15" ht="15.75" x14ac:dyDescent="0.25">
      <c r="A260" s="45"/>
      <c r="B260" s="45" t="s">
        <v>37</v>
      </c>
      <c r="C260" s="45">
        <v>9.75</v>
      </c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</row>
    <row r="261" spans="1:15" ht="15.75" x14ac:dyDescent="0.25">
      <c r="A261" s="45"/>
      <c r="B261" s="45" t="s">
        <v>77</v>
      </c>
      <c r="C261" s="45">
        <v>75</v>
      </c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</row>
    <row r="262" spans="1:15" ht="15.75" x14ac:dyDescent="0.25">
      <c r="A262" s="45"/>
      <c r="B262" s="45" t="s">
        <v>41</v>
      </c>
      <c r="C262" s="45">
        <v>5</v>
      </c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</row>
    <row r="263" spans="1:15" ht="15.75" x14ac:dyDescent="0.25">
      <c r="A263" s="45">
        <v>325</v>
      </c>
      <c r="B263" s="44" t="s">
        <v>111</v>
      </c>
      <c r="C263" s="45">
        <v>230</v>
      </c>
      <c r="D263" s="45">
        <v>18.5</v>
      </c>
      <c r="E263" s="45">
        <v>21.48</v>
      </c>
      <c r="F263" s="45">
        <v>19.899999999999999</v>
      </c>
      <c r="G263" s="45">
        <v>346.8</v>
      </c>
      <c r="H263" s="45">
        <v>0.16</v>
      </c>
      <c r="I263" s="45">
        <v>4.96</v>
      </c>
      <c r="J263" s="45">
        <v>0</v>
      </c>
      <c r="K263" s="45">
        <v>4.3899999999999997</v>
      </c>
      <c r="L263" s="45">
        <v>33.75</v>
      </c>
      <c r="M263" s="45">
        <v>239.2</v>
      </c>
      <c r="N263" s="45">
        <v>52.12</v>
      </c>
      <c r="O263" s="45">
        <v>3.62</v>
      </c>
    </row>
    <row r="264" spans="1:15" ht="15.75" x14ac:dyDescent="0.25">
      <c r="A264" s="45"/>
      <c r="B264" s="45" t="s">
        <v>79</v>
      </c>
      <c r="C264" s="45">
        <v>84.39</v>
      </c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</row>
    <row r="265" spans="1:15" ht="15.75" x14ac:dyDescent="0.25">
      <c r="A265" s="45"/>
      <c r="B265" s="45" t="s">
        <v>34</v>
      </c>
      <c r="C265" s="45">
        <v>10.63</v>
      </c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</row>
    <row r="266" spans="1:15" ht="15.75" x14ac:dyDescent="0.25">
      <c r="A266" s="45"/>
      <c r="B266" s="45" t="s">
        <v>41</v>
      </c>
      <c r="C266" s="45">
        <v>8.51</v>
      </c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</row>
    <row r="267" spans="1:15" ht="15.75" x14ac:dyDescent="0.25">
      <c r="A267" s="45"/>
      <c r="B267" s="45" t="s">
        <v>46</v>
      </c>
      <c r="C267" s="45">
        <v>3.54</v>
      </c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</row>
    <row r="268" spans="1:15" ht="15.75" x14ac:dyDescent="0.25">
      <c r="A268" s="45"/>
      <c r="B268" s="45" t="s">
        <v>54</v>
      </c>
      <c r="C268" s="45">
        <v>21.06</v>
      </c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</row>
    <row r="269" spans="1:15" ht="15.75" x14ac:dyDescent="0.25">
      <c r="A269" s="45"/>
      <c r="B269" s="45" t="s">
        <v>36</v>
      </c>
      <c r="C269" s="45">
        <v>17.78</v>
      </c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</row>
    <row r="270" spans="1:15" ht="15.75" x14ac:dyDescent="0.25">
      <c r="A270" s="45"/>
      <c r="B270" s="45" t="s">
        <v>77</v>
      </c>
      <c r="C270" s="45">
        <v>141.9</v>
      </c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</row>
    <row r="271" spans="1:15" ht="15.75" x14ac:dyDescent="0.25">
      <c r="A271" s="45">
        <v>490</v>
      </c>
      <c r="B271" s="44" t="s">
        <v>112</v>
      </c>
      <c r="C271" s="45">
        <v>200</v>
      </c>
      <c r="D271" s="45">
        <v>0.3</v>
      </c>
      <c r="E271" s="45">
        <v>0.1</v>
      </c>
      <c r="F271" s="45">
        <v>11.3</v>
      </c>
      <c r="G271" s="45">
        <v>48</v>
      </c>
      <c r="H271" s="45">
        <v>0.01</v>
      </c>
      <c r="I271" s="45">
        <v>21.7</v>
      </c>
      <c r="J271" s="45">
        <v>0</v>
      </c>
      <c r="K271" s="45">
        <v>0.2</v>
      </c>
      <c r="L271" s="45">
        <v>10.8</v>
      </c>
      <c r="M271" s="45">
        <v>9.1999999999999993</v>
      </c>
      <c r="N271" s="45">
        <v>8.9</v>
      </c>
      <c r="O271" s="45">
        <v>0.41</v>
      </c>
    </row>
    <row r="272" spans="1:15" ht="15.75" x14ac:dyDescent="0.25">
      <c r="A272" s="45"/>
      <c r="B272" s="45" t="s">
        <v>22</v>
      </c>
      <c r="C272" s="45">
        <v>10</v>
      </c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</row>
    <row r="273" spans="1:15" ht="15.75" x14ac:dyDescent="0.25">
      <c r="A273" s="45"/>
      <c r="B273" s="45" t="s">
        <v>113</v>
      </c>
      <c r="C273" s="45">
        <v>30</v>
      </c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</row>
    <row r="274" spans="1:15" ht="15.75" x14ac:dyDescent="0.25">
      <c r="A274" s="45"/>
      <c r="B274" s="44" t="s">
        <v>107</v>
      </c>
      <c r="C274" s="45">
        <v>40</v>
      </c>
      <c r="D274" s="45">
        <v>3.04</v>
      </c>
      <c r="E274" s="45">
        <v>0.32</v>
      </c>
      <c r="F274" s="45">
        <v>19.68</v>
      </c>
      <c r="G274" s="45">
        <v>94</v>
      </c>
      <c r="H274" s="45">
        <v>0.04</v>
      </c>
      <c r="I274" s="45">
        <v>0</v>
      </c>
      <c r="J274" s="45">
        <v>0</v>
      </c>
      <c r="K274" s="45">
        <v>0.44</v>
      </c>
      <c r="L274" s="45">
        <v>8</v>
      </c>
      <c r="M274" s="45">
        <v>26</v>
      </c>
      <c r="N274" s="45">
        <v>5.6</v>
      </c>
      <c r="O274" s="45">
        <v>0.44</v>
      </c>
    </row>
    <row r="275" spans="1:15" ht="15.75" x14ac:dyDescent="0.25">
      <c r="A275" s="45"/>
      <c r="B275" s="44" t="s">
        <v>73</v>
      </c>
      <c r="C275" s="45">
        <v>30</v>
      </c>
      <c r="D275" s="45">
        <v>2.64</v>
      </c>
      <c r="E275" s="45">
        <v>0.48</v>
      </c>
      <c r="F275" s="45">
        <v>13.36</v>
      </c>
      <c r="G275" s="45">
        <v>69.599999999999994</v>
      </c>
      <c r="H275" s="45">
        <v>7.0000000000000007E-2</v>
      </c>
      <c r="I275" s="45">
        <v>0</v>
      </c>
      <c r="J275" s="45">
        <v>0</v>
      </c>
      <c r="K275" s="45">
        <v>0.56000000000000005</v>
      </c>
      <c r="L275" s="45">
        <v>14</v>
      </c>
      <c r="M275" s="45">
        <v>63.2</v>
      </c>
      <c r="N275" s="45">
        <v>18.8</v>
      </c>
      <c r="O275" s="45">
        <v>1.56</v>
      </c>
    </row>
    <row r="276" spans="1:15" s="7" customFormat="1" ht="15.75" x14ac:dyDescent="0.25">
      <c r="A276" s="44"/>
      <c r="B276" s="44" t="s">
        <v>347</v>
      </c>
      <c r="C276" s="44"/>
      <c r="D276" s="44">
        <f>D277+D284</f>
        <v>8.8000000000000007</v>
      </c>
      <c r="E276" s="44">
        <f t="shared" ref="E276:O276" si="12">E277+E284</f>
        <v>0.5</v>
      </c>
      <c r="F276" s="44">
        <f t="shared" si="12"/>
        <v>16.899999999999999</v>
      </c>
      <c r="G276" s="44">
        <f t="shared" si="12"/>
        <v>385</v>
      </c>
      <c r="H276" s="44">
        <f t="shared" si="12"/>
        <v>0.13</v>
      </c>
      <c r="I276" s="44">
        <f t="shared" si="12"/>
        <v>0.2</v>
      </c>
      <c r="J276" s="44">
        <f t="shared" si="12"/>
        <v>0.04</v>
      </c>
      <c r="K276" s="44">
        <f t="shared" si="12"/>
        <v>1.3</v>
      </c>
      <c r="L276" s="44">
        <f t="shared" si="12"/>
        <v>28</v>
      </c>
      <c r="M276" s="44">
        <f t="shared" si="12"/>
        <v>104</v>
      </c>
      <c r="N276" s="44">
        <f t="shared" si="12"/>
        <v>30</v>
      </c>
      <c r="O276" s="44">
        <f t="shared" si="12"/>
        <v>1</v>
      </c>
    </row>
    <row r="277" spans="1:15" ht="15.75" x14ac:dyDescent="0.25">
      <c r="A277" s="45"/>
      <c r="B277" s="44" t="s">
        <v>286</v>
      </c>
      <c r="C277" s="45">
        <v>100</v>
      </c>
      <c r="D277" s="45">
        <v>8.8000000000000007</v>
      </c>
      <c r="E277" s="45">
        <v>0.5</v>
      </c>
      <c r="F277" s="45">
        <v>16.899999999999999</v>
      </c>
      <c r="G277" s="45">
        <v>385</v>
      </c>
      <c r="H277" s="45">
        <v>0.13</v>
      </c>
      <c r="I277" s="45">
        <v>0.2</v>
      </c>
      <c r="J277" s="45">
        <v>0.04</v>
      </c>
      <c r="K277" s="45">
        <v>1.3</v>
      </c>
      <c r="L277" s="45">
        <v>28</v>
      </c>
      <c r="M277" s="45">
        <v>104</v>
      </c>
      <c r="N277" s="45">
        <v>30</v>
      </c>
      <c r="O277" s="45">
        <v>1</v>
      </c>
    </row>
    <row r="278" spans="1:15" ht="15.75" x14ac:dyDescent="0.25">
      <c r="A278" s="45"/>
      <c r="B278" s="45" t="s">
        <v>46</v>
      </c>
      <c r="C278" s="45">
        <v>50</v>
      </c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</row>
    <row r="279" spans="1:15" ht="15.75" x14ac:dyDescent="0.25">
      <c r="A279" s="45"/>
      <c r="B279" s="45" t="s">
        <v>22</v>
      </c>
      <c r="C279" s="45">
        <v>7.5</v>
      </c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</row>
    <row r="280" spans="1:15" ht="15.75" x14ac:dyDescent="0.25">
      <c r="A280" s="45"/>
      <c r="B280" s="45" t="s">
        <v>23</v>
      </c>
      <c r="C280" s="45">
        <v>5</v>
      </c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</row>
    <row r="281" spans="1:15" ht="15.75" x14ac:dyDescent="0.25">
      <c r="A281" s="45"/>
      <c r="B281" s="45" t="s">
        <v>96</v>
      </c>
      <c r="C281" s="45">
        <v>3</v>
      </c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</row>
    <row r="282" spans="1:15" ht="15.75" x14ac:dyDescent="0.25">
      <c r="A282" s="45"/>
      <c r="B282" s="45" t="s">
        <v>301</v>
      </c>
      <c r="C282" s="45">
        <v>2</v>
      </c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</row>
    <row r="283" spans="1:15" ht="15.75" x14ac:dyDescent="0.25">
      <c r="A283" s="45"/>
      <c r="B283" s="45" t="s">
        <v>302</v>
      </c>
      <c r="C283" s="45">
        <v>2</v>
      </c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</row>
    <row r="284" spans="1:15" ht="15.75" x14ac:dyDescent="0.25">
      <c r="A284" s="45"/>
      <c r="B284" s="44" t="s">
        <v>114</v>
      </c>
      <c r="C284" s="45">
        <v>200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</row>
    <row r="285" spans="1:15" s="7" customFormat="1" ht="15.75" x14ac:dyDescent="0.25">
      <c r="A285" s="44"/>
      <c r="B285" s="44" t="s">
        <v>66</v>
      </c>
      <c r="C285" s="44"/>
      <c r="D285" s="44">
        <f t="shared" ref="D285:O285" si="13">D196+D220+D252+D276</f>
        <v>107.04</v>
      </c>
      <c r="E285" s="44">
        <f t="shared" si="13"/>
        <v>104.16466666666666</v>
      </c>
      <c r="F285" s="44">
        <f t="shared" si="13"/>
        <v>276.10999999999996</v>
      </c>
      <c r="G285" s="44">
        <f t="shared" si="13"/>
        <v>2761.6000000000004</v>
      </c>
      <c r="H285" s="44">
        <f t="shared" si="13"/>
        <v>1.1579999999999999</v>
      </c>
      <c r="I285" s="44">
        <f t="shared" si="13"/>
        <v>88.302999999999997</v>
      </c>
      <c r="J285" s="44">
        <f t="shared" si="13"/>
        <v>156.66</v>
      </c>
      <c r="K285" s="44">
        <f t="shared" si="13"/>
        <v>18.141061712010615</v>
      </c>
      <c r="L285" s="44">
        <f t="shared" si="13"/>
        <v>680.31000000000006</v>
      </c>
      <c r="M285" s="44">
        <f t="shared" si="13"/>
        <v>1373.62</v>
      </c>
      <c r="N285" s="44">
        <f t="shared" si="13"/>
        <v>342.38</v>
      </c>
      <c r="O285" s="44">
        <f t="shared" si="13"/>
        <v>18.298928998009288</v>
      </c>
    </row>
    <row r="286" spans="1:15" ht="15.75" x14ac:dyDescent="0.2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</row>
    <row r="287" spans="1:15" ht="18" x14ac:dyDescent="0.25">
      <c r="A287" s="1" t="s">
        <v>115</v>
      </c>
    </row>
    <row r="289" spans="1:15" ht="15.75" x14ac:dyDescent="0.25">
      <c r="A289" s="2" t="s">
        <v>19</v>
      </c>
      <c r="B289" s="4"/>
      <c r="C289" s="4"/>
      <c r="D289" s="4"/>
      <c r="E289" s="4"/>
      <c r="F289" s="4"/>
      <c r="G289" s="5"/>
      <c r="H289" s="4"/>
      <c r="I289" s="4"/>
      <c r="J289" s="4"/>
      <c r="K289" s="4"/>
      <c r="L289" s="4"/>
      <c r="M289" s="4"/>
      <c r="N289" s="4"/>
      <c r="O289" s="4"/>
    </row>
    <row r="290" spans="1:15" ht="15" x14ac:dyDescent="0.2">
      <c r="A290" s="62" t="s">
        <v>17</v>
      </c>
      <c r="B290" s="61" t="s">
        <v>0</v>
      </c>
      <c r="C290" s="61" t="s">
        <v>1</v>
      </c>
      <c r="D290" s="63" t="s">
        <v>9</v>
      </c>
      <c r="E290" s="64"/>
      <c r="F290" s="65"/>
      <c r="G290" s="61" t="s">
        <v>10</v>
      </c>
      <c r="H290" s="61" t="s">
        <v>7</v>
      </c>
      <c r="I290" s="61"/>
      <c r="J290" s="61"/>
      <c r="K290" s="61"/>
      <c r="L290" s="61" t="s">
        <v>8</v>
      </c>
      <c r="M290" s="61"/>
      <c r="N290" s="61"/>
      <c r="O290" s="61"/>
    </row>
    <row r="291" spans="1:15" ht="30" x14ac:dyDescent="0.2">
      <c r="A291" s="62"/>
      <c r="B291" s="61"/>
      <c r="C291" s="61"/>
      <c r="D291" s="41" t="s">
        <v>2</v>
      </c>
      <c r="E291" s="42" t="s">
        <v>3</v>
      </c>
      <c r="F291" s="42" t="s">
        <v>4</v>
      </c>
      <c r="G291" s="61"/>
      <c r="H291" s="42" t="s">
        <v>11</v>
      </c>
      <c r="I291" s="42" t="s">
        <v>12</v>
      </c>
      <c r="J291" s="42" t="s">
        <v>13</v>
      </c>
      <c r="K291" s="42" t="s">
        <v>5</v>
      </c>
      <c r="L291" s="43" t="s">
        <v>14</v>
      </c>
      <c r="M291" s="42" t="s">
        <v>15</v>
      </c>
      <c r="N291" s="42" t="s">
        <v>6</v>
      </c>
      <c r="O291" s="42" t="s">
        <v>16</v>
      </c>
    </row>
    <row r="292" spans="1:15" s="7" customFormat="1" ht="15.75" x14ac:dyDescent="0.25">
      <c r="A292" s="44"/>
      <c r="B292" s="44" t="s">
        <v>370</v>
      </c>
      <c r="C292" s="44"/>
      <c r="D292" s="44">
        <f t="shared" ref="D292:O292" si="14">D293+D296+D303+D306+D307</f>
        <v>30.980000000000004</v>
      </c>
      <c r="E292" s="44">
        <f t="shared" si="14"/>
        <v>30.5</v>
      </c>
      <c r="F292" s="44">
        <f t="shared" si="14"/>
        <v>64.94</v>
      </c>
      <c r="G292" s="44">
        <f t="shared" si="14"/>
        <v>659.6</v>
      </c>
      <c r="H292" s="44">
        <f t="shared" si="14"/>
        <v>0.26</v>
      </c>
      <c r="I292" s="44">
        <f t="shared" si="14"/>
        <v>0.60000000000000009</v>
      </c>
      <c r="J292" s="44">
        <f t="shared" si="14"/>
        <v>301</v>
      </c>
      <c r="K292" s="44">
        <f t="shared" si="14"/>
        <v>1.9899999999999998</v>
      </c>
      <c r="L292" s="44">
        <f t="shared" si="14"/>
        <v>512.1</v>
      </c>
      <c r="M292" s="44">
        <f t="shared" si="14"/>
        <v>558.5</v>
      </c>
      <c r="N292" s="44">
        <f t="shared" si="14"/>
        <v>73.7</v>
      </c>
      <c r="O292" s="44">
        <f t="shared" si="14"/>
        <v>5.0200000000000005</v>
      </c>
    </row>
    <row r="293" spans="1:15" ht="15.75" x14ac:dyDescent="0.25">
      <c r="A293" s="45">
        <v>58</v>
      </c>
      <c r="B293" s="44" t="s">
        <v>328</v>
      </c>
      <c r="C293" s="45">
        <v>35</v>
      </c>
      <c r="D293" s="45">
        <v>4.0999999999999996</v>
      </c>
      <c r="E293" s="45">
        <v>6.1</v>
      </c>
      <c r="F293" s="45">
        <v>9.9</v>
      </c>
      <c r="G293" s="45">
        <v>111</v>
      </c>
      <c r="H293" s="45">
        <v>0.05</v>
      </c>
      <c r="I293" s="45">
        <v>0</v>
      </c>
      <c r="J293" s="45">
        <v>0</v>
      </c>
      <c r="K293" s="45">
        <v>0.31</v>
      </c>
      <c r="L293" s="45">
        <v>8.5</v>
      </c>
      <c r="M293" s="45">
        <v>45.4</v>
      </c>
      <c r="N293" s="45">
        <v>6.1</v>
      </c>
      <c r="O293" s="45">
        <v>0.67</v>
      </c>
    </row>
    <row r="294" spans="1:15" ht="15.75" x14ac:dyDescent="0.25">
      <c r="A294" s="45"/>
      <c r="B294" s="45" t="s">
        <v>116</v>
      </c>
      <c r="C294" s="45">
        <v>15</v>
      </c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</row>
    <row r="295" spans="1:15" ht="15.75" x14ac:dyDescent="0.25">
      <c r="A295" s="45"/>
      <c r="B295" s="45" t="s">
        <v>27</v>
      </c>
      <c r="C295" s="45">
        <v>20</v>
      </c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</row>
    <row r="296" spans="1:15" ht="15.75" x14ac:dyDescent="0.25">
      <c r="A296" s="45">
        <v>275</v>
      </c>
      <c r="B296" s="44" t="s">
        <v>117</v>
      </c>
      <c r="C296" s="45">
        <v>140</v>
      </c>
      <c r="D296" s="45">
        <f>9.3*2</f>
        <v>18.600000000000001</v>
      </c>
      <c r="E296" s="45">
        <f>10.2*2</f>
        <v>20.399999999999999</v>
      </c>
      <c r="F296" s="45">
        <f>1.5*2</f>
        <v>3</v>
      </c>
      <c r="G296" s="45">
        <f>135*2</f>
        <v>270</v>
      </c>
      <c r="H296" s="45">
        <f>0.04*2</f>
        <v>0.08</v>
      </c>
      <c r="I296" s="45">
        <f>0.2*2</f>
        <v>0.4</v>
      </c>
      <c r="J296" s="45">
        <f>142.9*2</f>
        <v>285.8</v>
      </c>
      <c r="K296" s="45">
        <f>0.3*2</f>
        <v>0.6</v>
      </c>
      <c r="L296" s="45">
        <f>188.3*2</f>
        <v>376.6</v>
      </c>
      <c r="M296" s="45">
        <f>176.6*2</f>
        <v>353.2</v>
      </c>
      <c r="N296" s="45">
        <f>15.8*2</f>
        <v>31.6</v>
      </c>
      <c r="O296" s="45">
        <f>1.14*2</f>
        <v>2.2799999999999998</v>
      </c>
    </row>
    <row r="297" spans="1:15" ht="15.75" x14ac:dyDescent="0.25">
      <c r="A297" s="45"/>
      <c r="B297" s="45" t="s">
        <v>339</v>
      </c>
      <c r="C297" s="45">
        <f>14.8*2</f>
        <v>29.6</v>
      </c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</row>
    <row r="298" spans="1:15" ht="15.75" x14ac:dyDescent="0.25">
      <c r="A298" s="45"/>
      <c r="B298" s="45" t="s">
        <v>23</v>
      </c>
      <c r="C298" s="45">
        <v>4</v>
      </c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</row>
    <row r="299" spans="1:15" ht="15.75" x14ac:dyDescent="0.25">
      <c r="A299" s="45"/>
      <c r="B299" s="45" t="s">
        <v>47</v>
      </c>
      <c r="C299" s="45">
        <f>0.5*2</f>
        <v>1</v>
      </c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</row>
    <row r="300" spans="1:15" ht="15.75" x14ac:dyDescent="0.25">
      <c r="A300" s="45"/>
      <c r="B300" s="45" t="s">
        <v>41</v>
      </c>
      <c r="C300" s="45">
        <v>2</v>
      </c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</row>
    <row r="301" spans="1:15" ht="15.75" x14ac:dyDescent="0.25">
      <c r="A301" s="45"/>
      <c r="B301" s="45" t="s">
        <v>96</v>
      </c>
      <c r="C301" s="45">
        <v>80</v>
      </c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</row>
    <row r="302" spans="1:15" ht="15.75" x14ac:dyDescent="0.25">
      <c r="A302" s="45"/>
      <c r="B302" s="45" t="s">
        <v>25</v>
      </c>
      <c r="C302" s="45">
        <v>50</v>
      </c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</row>
    <row r="303" spans="1:15" ht="31.5" x14ac:dyDescent="0.25">
      <c r="A303" s="45">
        <v>466</v>
      </c>
      <c r="B303" s="44" t="s">
        <v>118</v>
      </c>
      <c r="C303" s="45">
        <v>200</v>
      </c>
      <c r="D303" s="45">
        <v>2.6</v>
      </c>
      <c r="E303" s="45">
        <v>3.2</v>
      </c>
      <c r="F303" s="45">
        <v>19</v>
      </c>
      <c r="G303" s="45">
        <v>115</v>
      </c>
      <c r="H303" s="45">
        <v>0.02</v>
      </c>
      <c r="I303" s="45">
        <v>0.2</v>
      </c>
      <c r="J303" s="45">
        <v>15.2</v>
      </c>
      <c r="K303" s="45">
        <v>0.08</v>
      </c>
      <c r="L303" s="45">
        <v>105</v>
      </c>
      <c r="M303" s="45">
        <v>70.7</v>
      </c>
      <c r="N303" s="45">
        <v>11.6</v>
      </c>
      <c r="O303" s="45">
        <v>7.0000000000000007E-2</v>
      </c>
    </row>
    <row r="304" spans="1:15" ht="31.5" x14ac:dyDescent="0.25">
      <c r="A304" s="45"/>
      <c r="B304" s="45" t="s">
        <v>119</v>
      </c>
      <c r="C304" s="45">
        <v>38</v>
      </c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</row>
    <row r="305" spans="1:15" ht="15.75" x14ac:dyDescent="0.25">
      <c r="A305" s="45"/>
      <c r="B305" s="45" t="s">
        <v>120</v>
      </c>
      <c r="C305" s="45">
        <v>2.4</v>
      </c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</row>
    <row r="306" spans="1:15" ht="15.75" x14ac:dyDescent="0.25">
      <c r="A306" s="45"/>
      <c r="B306" s="44" t="s">
        <v>73</v>
      </c>
      <c r="C306" s="45">
        <v>30</v>
      </c>
      <c r="D306" s="45">
        <v>2.64</v>
      </c>
      <c r="E306" s="45">
        <v>0.48</v>
      </c>
      <c r="F306" s="45">
        <v>13.36</v>
      </c>
      <c r="G306" s="45">
        <v>69.599999999999994</v>
      </c>
      <c r="H306" s="45">
        <v>7.0000000000000007E-2</v>
      </c>
      <c r="I306" s="45">
        <v>0</v>
      </c>
      <c r="J306" s="45">
        <v>0</v>
      </c>
      <c r="K306" s="45">
        <v>0.56000000000000005</v>
      </c>
      <c r="L306" s="45">
        <v>14</v>
      </c>
      <c r="M306" s="45">
        <v>63.2</v>
      </c>
      <c r="N306" s="45">
        <v>18.8</v>
      </c>
      <c r="O306" s="45">
        <v>1.56</v>
      </c>
    </row>
    <row r="307" spans="1:15" ht="15.75" x14ac:dyDescent="0.25">
      <c r="A307" s="45"/>
      <c r="B307" s="44" t="s">
        <v>107</v>
      </c>
      <c r="C307" s="45">
        <v>40</v>
      </c>
      <c r="D307" s="45">
        <v>3.04</v>
      </c>
      <c r="E307" s="45">
        <v>0.32</v>
      </c>
      <c r="F307" s="45">
        <v>19.68</v>
      </c>
      <c r="G307" s="45">
        <v>94</v>
      </c>
      <c r="H307" s="45">
        <v>0.04</v>
      </c>
      <c r="I307" s="45">
        <v>0</v>
      </c>
      <c r="J307" s="45">
        <v>0</v>
      </c>
      <c r="K307" s="45">
        <v>0.44</v>
      </c>
      <c r="L307" s="45">
        <v>8</v>
      </c>
      <c r="M307" s="45">
        <v>26</v>
      </c>
      <c r="N307" s="45">
        <v>5.6</v>
      </c>
      <c r="O307" s="45">
        <v>0.44</v>
      </c>
    </row>
    <row r="308" spans="1:15" ht="15.75" x14ac:dyDescent="0.25">
      <c r="A308" s="45"/>
      <c r="B308" s="44" t="s">
        <v>231</v>
      </c>
      <c r="C308" s="45">
        <v>200</v>
      </c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</row>
    <row r="309" spans="1:15" s="7" customFormat="1" ht="15.75" x14ac:dyDescent="0.25">
      <c r="A309" s="44"/>
      <c r="B309" s="44" t="s">
        <v>355</v>
      </c>
      <c r="C309" s="44"/>
      <c r="D309" s="44">
        <f t="shared" ref="D309:O309" si="15">D310+D316+D323+D332+D340+D344+D345</f>
        <v>34.085000000000001</v>
      </c>
      <c r="E309" s="44">
        <f t="shared" si="15"/>
        <v>28.275000000000002</v>
      </c>
      <c r="F309" s="44">
        <f t="shared" si="15"/>
        <v>116.75000000000001</v>
      </c>
      <c r="G309" s="44">
        <f t="shared" si="15"/>
        <v>860.85</v>
      </c>
      <c r="H309" s="44">
        <f t="shared" si="15"/>
        <v>0.42499999999999999</v>
      </c>
      <c r="I309" s="44">
        <f t="shared" si="15"/>
        <v>14.184999999999999</v>
      </c>
      <c r="J309" s="44">
        <f t="shared" si="15"/>
        <v>1.7</v>
      </c>
      <c r="K309" s="44">
        <f t="shared" si="15"/>
        <v>8.7349999999999994</v>
      </c>
      <c r="L309" s="44">
        <f t="shared" si="15"/>
        <v>128.62</v>
      </c>
      <c r="M309" s="44">
        <f t="shared" si="15"/>
        <v>486.60500000000002</v>
      </c>
      <c r="N309" s="44">
        <f t="shared" si="15"/>
        <v>137.64404761904763</v>
      </c>
      <c r="O309" s="44">
        <f t="shared" si="15"/>
        <v>8.4314999999999998</v>
      </c>
    </row>
    <row r="310" spans="1:15" ht="31.5" x14ac:dyDescent="0.25">
      <c r="A310" s="45">
        <v>23</v>
      </c>
      <c r="B310" s="44" t="s">
        <v>121</v>
      </c>
      <c r="C310" s="45">
        <v>60</v>
      </c>
      <c r="D310" s="45">
        <f>1.3/100*60</f>
        <v>0.78</v>
      </c>
      <c r="E310" s="45">
        <f>6.1/100*60</f>
        <v>3.66</v>
      </c>
      <c r="F310" s="45">
        <f>10.1/100*60</f>
        <v>6.06</v>
      </c>
      <c r="G310" s="45">
        <f>101/100*60</f>
        <v>60.6</v>
      </c>
      <c r="H310" s="45">
        <f>0.05/100*60</f>
        <v>0.03</v>
      </c>
      <c r="I310" s="45">
        <f>3.6/100*60</f>
        <v>2.16</v>
      </c>
      <c r="J310" s="45">
        <v>0</v>
      </c>
      <c r="K310" s="45">
        <f>3.3/100*60</f>
        <v>1.98</v>
      </c>
      <c r="L310" s="45">
        <f>30.8/100*60</f>
        <v>18.48</v>
      </c>
      <c r="M310" s="45">
        <f>50/100*60</f>
        <v>30</v>
      </c>
      <c r="N310" s="45">
        <f>35.5/100*60</f>
        <v>21.299999999999997</v>
      </c>
      <c r="O310" s="45">
        <f>0.99/100*60</f>
        <v>0.59399999999999997</v>
      </c>
    </row>
    <row r="311" spans="1:15" ht="15.75" x14ac:dyDescent="0.25">
      <c r="A311" s="45"/>
      <c r="B311" s="45" t="s">
        <v>62</v>
      </c>
      <c r="C311" s="45">
        <f>13.2/100*60</f>
        <v>7.92</v>
      </c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</row>
    <row r="312" spans="1:15" ht="15.75" x14ac:dyDescent="0.25">
      <c r="A312" s="45"/>
      <c r="B312" s="45" t="s">
        <v>22</v>
      </c>
      <c r="C312" s="45">
        <f>1.2/100*60</f>
        <v>0.72</v>
      </c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</row>
    <row r="313" spans="1:15" ht="15.75" x14ac:dyDescent="0.25">
      <c r="A313" s="45"/>
      <c r="B313" s="45" t="s">
        <v>37</v>
      </c>
      <c r="C313" s="45">
        <f>76.4/100*60</f>
        <v>45.84</v>
      </c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</row>
    <row r="314" spans="1:15" ht="15.75" x14ac:dyDescent="0.25">
      <c r="A314" s="45"/>
      <c r="B314" s="45" t="s">
        <v>122</v>
      </c>
      <c r="C314" s="45">
        <f>5.6/100*60</f>
        <v>3.3599999999999994</v>
      </c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</row>
    <row r="315" spans="1:15" ht="15.75" x14ac:dyDescent="0.25">
      <c r="A315" s="45"/>
      <c r="B315" s="45" t="s">
        <v>41</v>
      </c>
      <c r="C315" s="45">
        <f>6/100*60</f>
        <v>3.5999999999999996</v>
      </c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</row>
    <row r="316" spans="1:15" ht="31.5" x14ac:dyDescent="0.25">
      <c r="A316" s="45">
        <v>116</v>
      </c>
      <c r="B316" s="45" t="s">
        <v>342</v>
      </c>
      <c r="C316" s="45">
        <v>250</v>
      </c>
      <c r="D316" s="45">
        <f>10.7/1000*250</f>
        <v>2.6749999999999998</v>
      </c>
      <c r="E316" s="45">
        <f>10.3/1000*250</f>
        <v>2.5750000000000002</v>
      </c>
      <c r="F316" s="45">
        <f>67/1000*250</f>
        <v>16.75</v>
      </c>
      <c r="G316" s="45">
        <f>403/1000*250</f>
        <v>100.75</v>
      </c>
      <c r="H316" s="45">
        <f>0.42/1000*250</f>
        <v>0.105</v>
      </c>
      <c r="I316" s="45">
        <f>31.1/1000*250</f>
        <v>7.7750000000000004</v>
      </c>
      <c r="J316" s="45">
        <f>6.8/1000*250</f>
        <v>1.7</v>
      </c>
      <c r="K316" s="45">
        <f>5.5/1000*250</f>
        <v>1.375</v>
      </c>
      <c r="L316" s="45">
        <f>91.6/1000*250</f>
        <v>22.9</v>
      </c>
      <c r="M316" s="45">
        <f>265.9/1000*250</f>
        <v>66.474999999999994</v>
      </c>
      <c r="N316" s="45">
        <f>97.3/1000*250</f>
        <v>24.324999999999999</v>
      </c>
      <c r="O316" s="45">
        <f>4.35/1000*250</f>
        <v>1.0874999999999999</v>
      </c>
    </row>
    <row r="317" spans="1:15" ht="15.75" x14ac:dyDescent="0.25">
      <c r="A317" s="45"/>
      <c r="B317" s="45" t="s">
        <v>36</v>
      </c>
      <c r="C317" s="45">
        <v>10.07</v>
      </c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</row>
    <row r="318" spans="1:15" ht="15.75" x14ac:dyDescent="0.25">
      <c r="A318" s="45"/>
      <c r="B318" s="45" t="s">
        <v>37</v>
      </c>
      <c r="C318" s="45">
        <v>9.75</v>
      </c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</row>
    <row r="319" spans="1:15" ht="15.75" x14ac:dyDescent="0.25">
      <c r="A319" s="45"/>
      <c r="B319" s="45" t="s">
        <v>47</v>
      </c>
      <c r="C319" s="45">
        <v>2</v>
      </c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</row>
    <row r="320" spans="1:15" ht="15.75" x14ac:dyDescent="0.25">
      <c r="A320" s="45"/>
      <c r="B320" s="45" t="s">
        <v>123</v>
      </c>
      <c r="C320" s="45">
        <v>10</v>
      </c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</row>
    <row r="321" spans="1:15" ht="15.75" x14ac:dyDescent="0.25">
      <c r="A321" s="45"/>
      <c r="B321" s="45" t="s">
        <v>77</v>
      </c>
      <c r="C321" s="45">
        <v>75</v>
      </c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</row>
    <row r="322" spans="1:15" ht="15.75" x14ac:dyDescent="0.25">
      <c r="A322" s="45"/>
      <c r="B322" s="45" t="s">
        <v>41</v>
      </c>
      <c r="C322" s="45">
        <v>2.5</v>
      </c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</row>
    <row r="323" spans="1:15" ht="31.5" x14ac:dyDescent="0.25">
      <c r="A323" s="45">
        <v>324</v>
      </c>
      <c r="B323" s="44" t="s">
        <v>124</v>
      </c>
      <c r="C323" s="45">
        <v>100</v>
      </c>
      <c r="D323" s="45">
        <v>20.95</v>
      </c>
      <c r="E323" s="45">
        <v>17.04</v>
      </c>
      <c r="F323" s="45">
        <f>16.8/105*100</f>
        <v>16</v>
      </c>
      <c r="G323" s="45">
        <v>301.89999999999998</v>
      </c>
      <c r="H323" s="45">
        <v>0.12</v>
      </c>
      <c r="I323" s="45">
        <v>0.85</v>
      </c>
      <c r="J323" s="45">
        <v>0</v>
      </c>
      <c r="K323" s="45">
        <v>2.2799999999999998</v>
      </c>
      <c r="L323" s="45">
        <v>35.04</v>
      </c>
      <c r="M323" s="45">
        <v>209.33</v>
      </c>
      <c r="N323" s="45">
        <f>33.2/105*100</f>
        <v>31.619047619047624</v>
      </c>
      <c r="O323" s="45">
        <v>3.61</v>
      </c>
    </row>
    <row r="324" spans="1:15" ht="15.75" x14ac:dyDescent="0.25">
      <c r="A324" s="45"/>
      <c r="B324" s="45" t="s">
        <v>329</v>
      </c>
      <c r="C324" s="45">
        <v>9.52</v>
      </c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</row>
    <row r="325" spans="1:15" ht="15.75" x14ac:dyDescent="0.25">
      <c r="A325" s="45"/>
      <c r="B325" s="45" t="s">
        <v>125</v>
      </c>
      <c r="C325" s="45">
        <v>119.04</v>
      </c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</row>
    <row r="326" spans="1:15" ht="15.75" x14ac:dyDescent="0.25">
      <c r="A326" s="45"/>
      <c r="B326" s="45" t="s">
        <v>34</v>
      </c>
      <c r="C326" s="45">
        <v>14.28</v>
      </c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</row>
    <row r="327" spans="1:15" ht="15.75" x14ac:dyDescent="0.25">
      <c r="A327" s="45"/>
      <c r="B327" s="45" t="s">
        <v>47</v>
      </c>
      <c r="C327" s="45">
        <v>0.38</v>
      </c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</row>
    <row r="328" spans="1:15" ht="15.75" x14ac:dyDescent="0.25">
      <c r="A328" s="45"/>
      <c r="B328" s="45" t="s">
        <v>22</v>
      </c>
      <c r="C328" s="45">
        <v>7.61</v>
      </c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</row>
    <row r="329" spans="1:15" ht="15.75" x14ac:dyDescent="0.25">
      <c r="A329" s="45"/>
      <c r="B329" s="45" t="s">
        <v>41</v>
      </c>
      <c r="C329" s="45">
        <v>3.8</v>
      </c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</row>
    <row r="330" spans="1:15" ht="15.75" x14ac:dyDescent="0.25">
      <c r="A330" s="45"/>
      <c r="B330" s="45" t="s">
        <v>36</v>
      </c>
      <c r="C330" s="45">
        <v>19.14</v>
      </c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</row>
    <row r="331" spans="1:15" ht="15.75" x14ac:dyDescent="0.25">
      <c r="A331" s="45"/>
      <c r="B331" s="45" t="s">
        <v>42</v>
      </c>
      <c r="C331" s="45">
        <v>4.76</v>
      </c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</row>
    <row r="332" spans="1:15" ht="15.75" x14ac:dyDescent="0.25">
      <c r="A332" s="45">
        <v>237</v>
      </c>
      <c r="B332" s="44" t="s">
        <v>126</v>
      </c>
      <c r="C332" s="45">
        <v>150</v>
      </c>
      <c r="D332" s="45">
        <v>3.8</v>
      </c>
      <c r="E332" s="45">
        <v>4.0999999999999996</v>
      </c>
      <c r="F332" s="45">
        <v>31.4</v>
      </c>
      <c r="G332" s="45">
        <v>178</v>
      </c>
      <c r="H332" s="45">
        <v>0.05</v>
      </c>
      <c r="I332" s="45">
        <v>1.7</v>
      </c>
      <c r="J332" s="45">
        <v>0</v>
      </c>
      <c r="K332" s="45">
        <v>2</v>
      </c>
      <c r="L332" s="45">
        <v>19.2</v>
      </c>
      <c r="M332" s="45">
        <v>83.9</v>
      </c>
      <c r="N332" s="45">
        <v>29.3</v>
      </c>
      <c r="O332" s="45">
        <v>0.46</v>
      </c>
    </row>
    <row r="333" spans="1:15" ht="15.75" x14ac:dyDescent="0.25">
      <c r="A333" s="45"/>
      <c r="B333" s="45" t="s">
        <v>44</v>
      </c>
      <c r="C333" s="45">
        <v>39.6</v>
      </c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</row>
    <row r="334" spans="1:15" ht="15.75" x14ac:dyDescent="0.25">
      <c r="A334" s="45"/>
      <c r="B334" s="45" t="s">
        <v>330</v>
      </c>
      <c r="C334" s="45">
        <v>10</v>
      </c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</row>
    <row r="335" spans="1:15" ht="15.75" x14ac:dyDescent="0.25">
      <c r="A335" s="45"/>
      <c r="B335" s="45" t="s">
        <v>36</v>
      </c>
      <c r="C335" s="45">
        <v>21</v>
      </c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</row>
    <row r="336" spans="1:15" ht="15.75" x14ac:dyDescent="0.25">
      <c r="A336" s="45"/>
      <c r="B336" s="45" t="s">
        <v>331</v>
      </c>
      <c r="C336" s="45">
        <v>10</v>
      </c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</row>
    <row r="337" spans="1:15" ht="15.75" x14ac:dyDescent="0.25">
      <c r="A337" s="45"/>
      <c r="B337" s="45" t="s">
        <v>47</v>
      </c>
      <c r="C337" s="45">
        <v>1</v>
      </c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</row>
    <row r="338" spans="1:15" ht="15.75" x14ac:dyDescent="0.25">
      <c r="A338" s="45"/>
      <c r="B338" s="45" t="s">
        <v>41</v>
      </c>
      <c r="C338" s="45">
        <v>4</v>
      </c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</row>
    <row r="339" spans="1:15" ht="15.75" x14ac:dyDescent="0.25">
      <c r="A339" s="45"/>
      <c r="B339" s="45" t="s">
        <v>37</v>
      </c>
      <c r="C339" s="45">
        <v>13</v>
      </c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</row>
    <row r="340" spans="1:15" ht="15.75" x14ac:dyDescent="0.25">
      <c r="A340" s="45">
        <v>489</v>
      </c>
      <c r="B340" s="44" t="s">
        <v>128</v>
      </c>
      <c r="C340" s="45">
        <v>200</v>
      </c>
      <c r="D340" s="45">
        <v>0.2</v>
      </c>
      <c r="E340" s="45">
        <v>0.1</v>
      </c>
      <c r="F340" s="45">
        <v>13.5</v>
      </c>
      <c r="G340" s="45">
        <v>56</v>
      </c>
      <c r="H340" s="45">
        <v>0.01</v>
      </c>
      <c r="I340" s="45">
        <v>1.7</v>
      </c>
      <c r="J340" s="45">
        <v>0</v>
      </c>
      <c r="K340" s="45">
        <v>0.1</v>
      </c>
      <c r="L340" s="45">
        <v>11</v>
      </c>
      <c r="M340" s="45">
        <v>7.7</v>
      </c>
      <c r="N340" s="45">
        <v>6.7</v>
      </c>
      <c r="O340" s="45">
        <v>0.68</v>
      </c>
    </row>
    <row r="341" spans="1:15" ht="15.75" x14ac:dyDescent="0.25">
      <c r="A341" s="45"/>
      <c r="B341" s="45" t="s">
        <v>62</v>
      </c>
      <c r="C341" s="45">
        <v>26.4</v>
      </c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</row>
    <row r="342" spans="1:15" ht="15.75" x14ac:dyDescent="0.25">
      <c r="A342" s="45"/>
      <c r="B342" s="45" t="s">
        <v>22</v>
      </c>
      <c r="C342" s="45">
        <v>10</v>
      </c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</row>
    <row r="343" spans="1:15" ht="15.75" x14ac:dyDescent="0.25">
      <c r="A343" s="45"/>
      <c r="B343" s="45" t="s">
        <v>130</v>
      </c>
      <c r="C343" s="45">
        <v>18</v>
      </c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</row>
    <row r="344" spans="1:15" ht="15.75" x14ac:dyDescent="0.25">
      <c r="A344" s="45"/>
      <c r="B344" s="44" t="s">
        <v>107</v>
      </c>
      <c r="C344" s="45">
        <v>40</v>
      </c>
      <c r="D344" s="45">
        <v>3.04</v>
      </c>
      <c r="E344" s="45">
        <v>0.32</v>
      </c>
      <c r="F344" s="45">
        <v>19.68</v>
      </c>
      <c r="G344" s="45">
        <v>94</v>
      </c>
      <c r="H344" s="45">
        <v>0.04</v>
      </c>
      <c r="I344" s="45">
        <v>0</v>
      </c>
      <c r="J344" s="45">
        <v>0</v>
      </c>
      <c r="K344" s="45">
        <v>0.44</v>
      </c>
      <c r="L344" s="45">
        <v>8</v>
      </c>
      <c r="M344" s="45">
        <v>26</v>
      </c>
      <c r="N344" s="45">
        <v>5.6</v>
      </c>
      <c r="O344" s="45">
        <v>0.44</v>
      </c>
    </row>
    <row r="345" spans="1:15" ht="15.75" x14ac:dyDescent="0.25">
      <c r="A345" s="45"/>
      <c r="B345" s="44" t="s">
        <v>73</v>
      </c>
      <c r="C345" s="45">
        <v>30</v>
      </c>
      <c r="D345" s="45">
        <v>2.64</v>
      </c>
      <c r="E345" s="45">
        <v>0.48</v>
      </c>
      <c r="F345" s="45">
        <v>13.36</v>
      </c>
      <c r="G345" s="45">
        <v>69.599999999999994</v>
      </c>
      <c r="H345" s="45">
        <v>7.0000000000000007E-2</v>
      </c>
      <c r="I345" s="45">
        <v>0</v>
      </c>
      <c r="J345" s="45">
        <v>0</v>
      </c>
      <c r="K345" s="45">
        <v>0.56000000000000005</v>
      </c>
      <c r="L345" s="45">
        <v>14</v>
      </c>
      <c r="M345" s="45">
        <v>63.2</v>
      </c>
      <c r="N345" s="45">
        <v>18.8</v>
      </c>
      <c r="O345" s="45">
        <v>1.56</v>
      </c>
    </row>
    <row r="346" spans="1:15" s="7" customFormat="1" ht="15.75" x14ac:dyDescent="0.25">
      <c r="A346" s="44"/>
      <c r="B346" s="44" t="s">
        <v>371</v>
      </c>
      <c r="C346" s="44"/>
      <c r="D346" s="44">
        <f t="shared" ref="D346:O346" si="16">D347+D351+D360+D368+D377+D380+D381</f>
        <v>30.315000000000001</v>
      </c>
      <c r="E346" s="44">
        <f t="shared" si="16"/>
        <v>21.710000000000004</v>
      </c>
      <c r="F346" s="44">
        <f t="shared" si="16"/>
        <v>75.414999999999992</v>
      </c>
      <c r="G346" s="44">
        <f t="shared" si="16"/>
        <v>619.75000000000011</v>
      </c>
      <c r="H346" s="44">
        <f t="shared" si="16"/>
        <v>0.38349999999999995</v>
      </c>
      <c r="I346" s="44">
        <f t="shared" si="16"/>
        <v>40.89</v>
      </c>
      <c r="J346" s="44">
        <f t="shared" si="16"/>
        <v>85.47</v>
      </c>
      <c r="K346" s="44">
        <f t="shared" si="16"/>
        <v>6.08</v>
      </c>
      <c r="L346" s="44">
        <f t="shared" si="16"/>
        <v>208.14000000000001</v>
      </c>
      <c r="M346" s="44">
        <f t="shared" si="16"/>
        <v>490.88499999999999</v>
      </c>
      <c r="N346" s="44">
        <f t="shared" si="16"/>
        <v>128.86499999999998</v>
      </c>
      <c r="O346" s="44">
        <f t="shared" si="16"/>
        <v>6.7775000000000016</v>
      </c>
    </row>
    <row r="347" spans="1:15" ht="31.5" x14ac:dyDescent="0.25">
      <c r="A347" s="45">
        <v>18</v>
      </c>
      <c r="B347" s="44" t="s">
        <v>202</v>
      </c>
      <c r="C347" s="45">
        <v>60</v>
      </c>
      <c r="D347" s="45">
        <f>1/100*60</f>
        <v>0.6</v>
      </c>
      <c r="E347" s="45">
        <f>6.2/100*60</f>
        <v>3.7199999999999998</v>
      </c>
      <c r="F347" s="45">
        <f>3.5/100*60</f>
        <v>2.1</v>
      </c>
      <c r="G347" s="45">
        <f>73/100*60</f>
        <v>43.8</v>
      </c>
      <c r="H347" s="45">
        <f>0.05/100*60</f>
        <v>0.03</v>
      </c>
      <c r="I347" s="45">
        <f>13.4/100*60</f>
        <v>8.0400000000000009</v>
      </c>
      <c r="J347" s="45">
        <v>0</v>
      </c>
      <c r="K347" s="45">
        <f>3.9/100*60</f>
        <v>2.34</v>
      </c>
      <c r="L347" s="45">
        <f>17.5/100*60</f>
        <v>10.5</v>
      </c>
      <c r="M347" s="45">
        <f>30.6/100*60</f>
        <v>18.36</v>
      </c>
      <c r="N347" s="45">
        <f>16.3/100*60</f>
        <v>9.7800000000000011</v>
      </c>
      <c r="O347" s="45">
        <f>0.72/100*60</f>
        <v>0.432</v>
      </c>
    </row>
    <row r="348" spans="1:15" ht="15.75" x14ac:dyDescent="0.25">
      <c r="A348" s="45"/>
      <c r="B348" s="45" t="s">
        <v>129</v>
      </c>
      <c r="C348" s="45">
        <f>48.4/100*60</f>
        <v>29.04</v>
      </c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</row>
    <row r="349" spans="1:15" ht="15.75" x14ac:dyDescent="0.25">
      <c r="A349" s="45"/>
      <c r="B349" s="45" t="s">
        <v>131</v>
      </c>
      <c r="C349" s="45">
        <f>34.4/100*60</f>
        <v>20.639999999999997</v>
      </c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</row>
    <row r="350" spans="1:15" ht="15.75" x14ac:dyDescent="0.25">
      <c r="A350" s="45"/>
      <c r="B350" s="45" t="s">
        <v>41</v>
      </c>
      <c r="C350" s="45">
        <f>6/100*60</f>
        <v>3.5999999999999996</v>
      </c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</row>
    <row r="351" spans="1:15" ht="31.5" x14ac:dyDescent="0.25">
      <c r="A351" s="45">
        <v>124</v>
      </c>
      <c r="B351" s="44" t="s">
        <v>132</v>
      </c>
      <c r="C351" s="45">
        <v>250</v>
      </c>
      <c r="D351" s="45">
        <f>37.1/1000*250</f>
        <v>9.2750000000000004</v>
      </c>
      <c r="E351" s="45">
        <f>32.6/1000*250</f>
        <v>8.15</v>
      </c>
      <c r="F351" s="45">
        <f>59.3/1000*250</f>
        <v>14.824999999999999</v>
      </c>
      <c r="G351" s="45">
        <f>679/1000*250</f>
        <v>169.75</v>
      </c>
      <c r="H351" s="45">
        <f>0.57/1000*250</f>
        <v>0.14249999999999999</v>
      </c>
      <c r="I351" s="45">
        <f>41.8/1000*250</f>
        <v>10.45</v>
      </c>
      <c r="J351" s="45">
        <f>28.4/1000*250</f>
        <v>7.1</v>
      </c>
      <c r="K351" s="45">
        <f>5.8/1000*250</f>
        <v>1.45</v>
      </c>
      <c r="L351" s="45">
        <f>114.6/1000*250</f>
        <v>28.65</v>
      </c>
      <c r="M351" s="45">
        <f>585.1/1000*250</f>
        <v>146.27500000000001</v>
      </c>
      <c r="N351" s="45">
        <f>152.3/1000*250</f>
        <v>38.075000000000003</v>
      </c>
      <c r="O351" s="45">
        <f>9.07/1000*250</f>
        <v>2.2675000000000001</v>
      </c>
    </row>
    <row r="352" spans="1:15" ht="15.75" x14ac:dyDescent="0.25">
      <c r="A352" s="45"/>
      <c r="B352" s="45" t="s">
        <v>77</v>
      </c>
      <c r="C352" s="45">
        <f>399.7/1000*250</f>
        <v>99.924999999999997</v>
      </c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</row>
    <row r="353" spans="1:15" ht="15.75" x14ac:dyDescent="0.25">
      <c r="A353" s="45"/>
      <c r="B353" s="45" t="s">
        <v>36</v>
      </c>
      <c r="C353" s="45">
        <f>40/1000*250</f>
        <v>10</v>
      </c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</row>
    <row r="354" spans="1:15" ht="15.75" x14ac:dyDescent="0.25">
      <c r="A354" s="45"/>
      <c r="B354" s="45" t="s">
        <v>37</v>
      </c>
      <c r="C354" s="45">
        <f>39/1000*250</f>
        <v>9.75</v>
      </c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</row>
    <row r="355" spans="1:15" ht="15.75" x14ac:dyDescent="0.25">
      <c r="A355" s="45"/>
      <c r="B355" s="45" t="s">
        <v>41</v>
      </c>
      <c r="C355" s="45">
        <f>10/1000*250</f>
        <v>2.5</v>
      </c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</row>
    <row r="356" spans="1:15" ht="15.75" x14ac:dyDescent="0.25">
      <c r="A356" s="45"/>
      <c r="B356" s="45" t="s">
        <v>34</v>
      </c>
      <c r="C356" s="45">
        <v>2.5</v>
      </c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</row>
    <row r="357" spans="1:15" ht="15.75" x14ac:dyDescent="0.25">
      <c r="A357" s="45"/>
      <c r="B357" s="45" t="s">
        <v>47</v>
      </c>
      <c r="C357" s="45">
        <f>8/1000*250</f>
        <v>2</v>
      </c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</row>
    <row r="358" spans="1:15" ht="15.75" x14ac:dyDescent="0.25">
      <c r="A358" s="45"/>
      <c r="B358" s="45" t="s">
        <v>96</v>
      </c>
      <c r="C358" s="45">
        <v>2.0099999999999998</v>
      </c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</row>
    <row r="359" spans="1:15" ht="15.75" x14ac:dyDescent="0.25">
      <c r="A359" s="45"/>
      <c r="B359" s="45" t="s">
        <v>133</v>
      </c>
      <c r="C359" s="45">
        <f>1162/1000*25</f>
        <v>29.049999999999997</v>
      </c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</row>
    <row r="360" spans="1:15" ht="15.75" x14ac:dyDescent="0.25">
      <c r="A360" s="45">
        <v>303</v>
      </c>
      <c r="B360" s="44" t="s">
        <v>134</v>
      </c>
      <c r="C360" s="45">
        <v>80</v>
      </c>
      <c r="D360" s="45">
        <f>14.2/100*80</f>
        <v>11.36</v>
      </c>
      <c r="E360" s="45">
        <f>4.8/100*80</f>
        <v>3.84</v>
      </c>
      <c r="F360" s="45">
        <f>3/100*80</f>
        <v>2.4</v>
      </c>
      <c r="G360" s="45">
        <f>112/100*80</f>
        <v>89.600000000000009</v>
      </c>
      <c r="H360" s="45">
        <f>0.07/100*80</f>
        <v>5.6000000000000008E-2</v>
      </c>
      <c r="I360" s="45">
        <f>0.5/100*80</f>
        <v>0.4</v>
      </c>
      <c r="J360" s="45">
        <f>65.9/100*80</f>
        <v>52.72</v>
      </c>
      <c r="K360" s="45">
        <f>0.8/100*80</f>
        <v>0.64</v>
      </c>
      <c r="L360" s="45">
        <f>64.3/100*80</f>
        <v>51.44</v>
      </c>
      <c r="M360" s="45">
        <f>209.5/100*80</f>
        <v>167.60000000000002</v>
      </c>
      <c r="N360" s="45">
        <f>26.2/100*80</f>
        <v>20.96</v>
      </c>
      <c r="O360" s="45">
        <f>0.81/100*80</f>
        <v>0.64800000000000013</v>
      </c>
    </row>
    <row r="361" spans="1:15" ht="15.75" x14ac:dyDescent="0.25">
      <c r="A361" s="45"/>
      <c r="B361" s="45" t="s">
        <v>296</v>
      </c>
      <c r="C361" s="45">
        <f>73/100*80</f>
        <v>58.4</v>
      </c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</row>
    <row r="362" spans="1:15" ht="15.75" x14ac:dyDescent="0.25">
      <c r="A362" s="45"/>
      <c r="B362" s="45" t="s">
        <v>46</v>
      </c>
      <c r="C362" s="45">
        <f>2.4/100*80</f>
        <v>1.92</v>
      </c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</row>
    <row r="363" spans="1:15" ht="15.75" x14ac:dyDescent="0.25">
      <c r="A363" s="45"/>
      <c r="B363" s="45" t="s">
        <v>25</v>
      </c>
      <c r="C363" s="45">
        <f>30/100*80</f>
        <v>24</v>
      </c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</row>
    <row r="364" spans="1:15" ht="15.75" x14ac:dyDescent="0.25">
      <c r="A364" s="45"/>
      <c r="B364" s="45" t="s">
        <v>47</v>
      </c>
      <c r="C364" s="45">
        <f>1/100*80</f>
        <v>0.8</v>
      </c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</row>
    <row r="365" spans="1:15" ht="15.75" x14ac:dyDescent="0.25">
      <c r="A365" s="45"/>
      <c r="B365" s="45" t="s">
        <v>41</v>
      </c>
      <c r="C365" s="45">
        <f>2/100*80</f>
        <v>1.6</v>
      </c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</row>
    <row r="366" spans="1:15" ht="15.75" x14ac:dyDescent="0.25">
      <c r="A366" s="45"/>
      <c r="B366" s="45" t="s">
        <v>23</v>
      </c>
      <c r="C366" s="45">
        <f>2.4/100*80</f>
        <v>1.92</v>
      </c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</row>
    <row r="367" spans="1:15" ht="15.75" x14ac:dyDescent="0.25">
      <c r="A367" s="45"/>
      <c r="B367" s="45" t="s">
        <v>96</v>
      </c>
      <c r="C367" s="45">
        <f>17.5/100*80</f>
        <v>14</v>
      </c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</row>
    <row r="368" spans="1:15" ht="15.75" x14ac:dyDescent="0.25">
      <c r="A368" s="45">
        <v>380</v>
      </c>
      <c r="B368" s="44" t="s">
        <v>135</v>
      </c>
      <c r="C368" s="45">
        <v>150</v>
      </c>
      <c r="D368" s="45">
        <f>2.2/100*150</f>
        <v>3.3000000000000003</v>
      </c>
      <c r="E368" s="45">
        <f>3.4/100*150</f>
        <v>5.1000000000000005</v>
      </c>
      <c r="F368" s="45">
        <f>8.1/100*150</f>
        <v>12.15</v>
      </c>
      <c r="G368" s="45">
        <f>72/100*150</f>
        <v>108</v>
      </c>
      <c r="H368" s="45">
        <f>0.03/100*150</f>
        <v>4.4999999999999998E-2</v>
      </c>
      <c r="I368" s="45">
        <f>14.2/100*150</f>
        <v>21.299999999999997</v>
      </c>
      <c r="J368" s="45">
        <f>17.1/100*150</f>
        <v>25.650000000000002</v>
      </c>
      <c r="K368" s="45">
        <f>0.3/100*150</f>
        <v>0.45</v>
      </c>
      <c r="L368" s="45">
        <f>60.1/100*150</f>
        <v>90.149999999999991</v>
      </c>
      <c r="M368" s="45">
        <f>44.3/100*150</f>
        <v>66.449999999999989</v>
      </c>
      <c r="N368" s="45">
        <f>22.9/100*150</f>
        <v>34.349999999999994</v>
      </c>
      <c r="O368" s="45">
        <f>0.88/100*150</f>
        <v>1.32</v>
      </c>
    </row>
    <row r="369" spans="1:15" ht="15.75" x14ac:dyDescent="0.25">
      <c r="A369" s="45"/>
      <c r="B369" s="45" t="s">
        <v>34</v>
      </c>
      <c r="C369" s="45">
        <f>8/100*150</f>
        <v>12</v>
      </c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</row>
    <row r="370" spans="1:15" ht="15.75" x14ac:dyDescent="0.25">
      <c r="A370" s="45"/>
      <c r="B370" s="45" t="s">
        <v>22</v>
      </c>
      <c r="C370" s="45">
        <f>3/100*150</f>
        <v>4.5</v>
      </c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</row>
    <row r="371" spans="1:15" ht="15.75" x14ac:dyDescent="0.25">
      <c r="A371" s="45"/>
      <c r="B371" s="45" t="s">
        <v>46</v>
      </c>
      <c r="C371" s="45">
        <f>1.2/100*150</f>
        <v>1.8</v>
      </c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</row>
    <row r="372" spans="1:15" ht="15.75" x14ac:dyDescent="0.25">
      <c r="A372" s="45"/>
      <c r="B372" s="45" t="s">
        <v>36</v>
      </c>
      <c r="C372" s="45">
        <f>5.9/100*150</f>
        <v>8.8500000000000014</v>
      </c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</row>
    <row r="373" spans="1:15" ht="15.75" x14ac:dyDescent="0.25">
      <c r="A373" s="45"/>
      <c r="B373" s="45" t="s">
        <v>37</v>
      </c>
      <c r="C373" s="45">
        <f>3.9/100*150</f>
        <v>5.85</v>
      </c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</row>
    <row r="374" spans="1:15" ht="15.75" x14ac:dyDescent="0.25">
      <c r="A374" s="45"/>
      <c r="B374" s="45" t="s">
        <v>38</v>
      </c>
      <c r="C374" s="45">
        <v>157.5</v>
      </c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</row>
    <row r="375" spans="1:15" ht="15.75" x14ac:dyDescent="0.25">
      <c r="A375" s="45"/>
      <c r="B375" s="45" t="s">
        <v>39</v>
      </c>
      <c r="C375" s="45">
        <v>4</v>
      </c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</row>
    <row r="376" spans="1:15" ht="15.75" x14ac:dyDescent="0.25">
      <c r="A376" s="45"/>
      <c r="B376" s="45" t="s">
        <v>23</v>
      </c>
      <c r="C376" s="45">
        <f>4.5/100*150</f>
        <v>6.75</v>
      </c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</row>
    <row r="377" spans="1:15" ht="15.75" x14ac:dyDescent="0.25">
      <c r="A377" s="45">
        <v>498</v>
      </c>
      <c r="B377" s="44" t="s">
        <v>350</v>
      </c>
      <c r="C377" s="45">
        <v>200</v>
      </c>
      <c r="D377" s="45">
        <v>0.1</v>
      </c>
      <c r="E377" s="45">
        <v>0.1</v>
      </c>
      <c r="F377" s="45">
        <v>10.9</v>
      </c>
      <c r="G377" s="45">
        <v>45</v>
      </c>
      <c r="H377" s="45">
        <v>0</v>
      </c>
      <c r="I377" s="45">
        <v>0.7</v>
      </c>
      <c r="J377" s="45">
        <v>0</v>
      </c>
      <c r="K377" s="45">
        <v>0.2</v>
      </c>
      <c r="L377" s="45">
        <v>5.4</v>
      </c>
      <c r="M377" s="45">
        <v>3</v>
      </c>
      <c r="N377" s="45">
        <v>1.3</v>
      </c>
      <c r="O377" s="45">
        <v>0.11</v>
      </c>
    </row>
    <row r="378" spans="1:15" ht="15.75" x14ac:dyDescent="0.25">
      <c r="A378" s="45"/>
      <c r="B378" s="45" t="s">
        <v>358</v>
      </c>
      <c r="C378" s="45">
        <v>20</v>
      </c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</row>
    <row r="379" spans="1:15" ht="15.75" x14ac:dyDescent="0.25">
      <c r="A379" s="45"/>
      <c r="B379" s="45" t="s">
        <v>22</v>
      </c>
      <c r="C379" s="45">
        <v>10</v>
      </c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</row>
    <row r="380" spans="1:15" ht="15.75" x14ac:dyDescent="0.25">
      <c r="A380" s="45"/>
      <c r="B380" s="44" t="s">
        <v>107</v>
      </c>
      <c r="C380" s="45">
        <v>40</v>
      </c>
      <c r="D380" s="45">
        <v>3.04</v>
      </c>
      <c r="E380" s="45">
        <v>0.32</v>
      </c>
      <c r="F380" s="45">
        <v>19.68</v>
      </c>
      <c r="G380" s="45">
        <v>94</v>
      </c>
      <c r="H380" s="45">
        <v>0.04</v>
      </c>
      <c r="I380" s="45">
        <v>0</v>
      </c>
      <c r="J380" s="45">
        <v>0</v>
      </c>
      <c r="K380" s="45">
        <v>0.44</v>
      </c>
      <c r="L380" s="45">
        <v>8</v>
      </c>
      <c r="M380" s="45">
        <v>26</v>
      </c>
      <c r="N380" s="45">
        <v>5.6</v>
      </c>
      <c r="O380" s="45">
        <v>0.44</v>
      </c>
    </row>
    <row r="381" spans="1:15" ht="15.75" x14ac:dyDescent="0.25">
      <c r="A381" s="45"/>
      <c r="B381" s="44" t="s">
        <v>73</v>
      </c>
      <c r="C381" s="45">
        <v>30</v>
      </c>
      <c r="D381" s="45">
        <v>2.64</v>
      </c>
      <c r="E381" s="45">
        <v>0.48</v>
      </c>
      <c r="F381" s="45">
        <v>13.36</v>
      </c>
      <c r="G381" s="45">
        <v>69.599999999999994</v>
      </c>
      <c r="H381" s="45">
        <v>7.0000000000000007E-2</v>
      </c>
      <c r="I381" s="45">
        <v>0</v>
      </c>
      <c r="J381" s="45">
        <v>0</v>
      </c>
      <c r="K381" s="45">
        <v>0.56000000000000005</v>
      </c>
      <c r="L381" s="45">
        <v>14</v>
      </c>
      <c r="M381" s="45">
        <v>63.2</v>
      </c>
      <c r="N381" s="45">
        <v>18.8</v>
      </c>
      <c r="O381" s="45">
        <v>1.56</v>
      </c>
    </row>
    <row r="382" spans="1:15" s="7" customFormat="1" ht="15.75" x14ac:dyDescent="0.25">
      <c r="A382" s="44"/>
      <c r="B382" s="44" t="s">
        <v>348</v>
      </c>
      <c r="C382" s="44"/>
      <c r="D382" s="44">
        <f>D383+D384</f>
        <v>1.8399999999999999</v>
      </c>
      <c r="E382" s="44">
        <f t="shared" ref="E382:O382" si="17">E383+E384</f>
        <v>0.99</v>
      </c>
      <c r="F382" s="44">
        <f t="shared" si="17"/>
        <v>23.19</v>
      </c>
      <c r="G382" s="44">
        <f t="shared" si="17"/>
        <v>215</v>
      </c>
      <c r="H382" s="44">
        <f t="shared" si="17"/>
        <v>0.05</v>
      </c>
      <c r="I382" s="44">
        <f t="shared" si="17"/>
        <v>8</v>
      </c>
      <c r="J382" s="44">
        <f t="shared" si="17"/>
        <v>0</v>
      </c>
      <c r="K382" s="44">
        <f t="shared" si="17"/>
        <v>0.21</v>
      </c>
      <c r="L382" s="44">
        <f t="shared" si="17"/>
        <v>44.8</v>
      </c>
      <c r="M382" s="44">
        <f t="shared" si="17"/>
        <v>10.8</v>
      </c>
      <c r="N382" s="44">
        <f t="shared" si="17"/>
        <v>3</v>
      </c>
      <c r="O382" s="44">
        <f t="shared" si="17"/>
        <v>0.85000000000000009</v>
      </c>
    </row>
    <row r="383" spans="1:15" ht="15.75" x14ac:dyDescent="0.25">
      <c r="A383" s="45"/>
      <c r="B383" s="44" t="s">
        <v>136</v>
      </c>
      <c r="C383" s="45">
        <v>30</v>
      </c>
      <c r="D383" s="45">
        <v>0.84</v>
      </c>
      <c r="E383" s="45">
        <v>0.99</v>
      </c>
      <c r="F383" s="45">
        <v>23.19</v>
      </c>
      <c r="G383" s="45">
        <v>105</v>
      </c>
      <c r="H383" s="45">
        <v>0.01</v>
      </c>
      <c r="I383" s="45">
        <v>0</v>
      </c>
      <c r="J383" s="45">
        <v>0</v>
      </c>
      <c r="K383" s="45">
        <v>0.21</v>
      </c>
      <c r="L383" s="45">
        <v>4.8</v>
      </c>
      <c r="M383" s="45">
        <v>10.8</v>
      </c>
      <c r="N383" s="45">
        <v>3</v>
      </c>
      <c r="O383" s="45">
        <v>0.45</v>
      </c>
    </row>
    <row r="384" spans="1:15" ht="15.75" x14ac:dyDescent="0.25">
      <c r="A384" s="45"/>
      <c r="B384" s="44" t="s">
        <v>137</v>
      </c>
      <c r="C384" s="45">
        <v>200</v>
      </c>
      <c r="D384" s="45">
        <v>1</v>
      </c>
      <c r="E384" s="45">
        <v>0</v>
      </c>
      <c r="F384" s="45">
        <v>0</v>
      </c>
      <c r="G384" s="45">
        <v>110</v>
      </c>
      <c r="H384" s="45">
        <v>0.04</v>
      </c>
      <c r="I384" s="45">
        <v>8</v>
      </c>
      <c r="J384" s="45">
        <v>0</v>
      </c>
      <c r="K384" s="45">
        <v>0</v>
      </c>
      <c r="L384" s="45">
        <v>40</v>
      </c>
      <c r="M384" s="45">
        <v>0</v>
      </c>
      <c r="N384" s="45">
        <v>0</v>
      </c>
      <c r="O384" s="45">
        <v>0.4</v>
      </c>
    </row>
    <row r="385" spans="1:15" ht="15.75" x14ac:dyDescent="0.25">
      <c r="A385" s="45"/>
      <c r="B385" s="45" t="s">
        <v>138</v>
      </c>
      <c r="C385" s="45">
        <v>200</v>
      </c>
      <c r="D385" s="45">
        <v>1</v>
      </c>
      <c r="E385" s="45">
        <v>0</v>
      </c>
      <c r="F385" s="45">
        <v>25.4</v>
      </c>
      <c r="G385" s="45">
        <v>105.56</v>
      </c>
      <c r="H385" s="45">
        <v>0.04</v>
      </c>
      <c r="I385" s="45">
        <v>8</v>
      </c>
      <c r="J385" s="45">
        <v>0.43</v>
      </c>
      <c r="K385" s="45">
        <v>1.6</v>
      </c>
      <c r="L385" s="45">
        <v>40</v>
      </c>
      <c r="M385" s="45">
        <v>36</v>
      </c>
      <c r="N385" s="45">
        <v>20</v>
      </c>
      <c r="O385" s="45">
        <v>0.4</v>
      </c>
    </row>
    <row r="386" spans="1:15" s="7" customFormat="1" ht="15.75" x14ac:dyDescent="0.25">
      <c r="A386" s="44"/>
      <c r="B386" s="44" t="s">
        <v>66</v>
      </c>
      <c r="C386" s="44"/>
      <c r="D386" s="44">
        <f t="shared" ref="D386:O386" si="18">D292+D309+D346+D382</f>
        <v>97.22</v>
      </c>
      <c r="E386" s="44">
        <f t="shared" si="18"/>
        <v>81.475000000000009</v>
      </c>
      <c r="F386" s="44">
        <f t="shared" si="18"/>
        <v>280.29500000000002</v>
      </c>
      <c r="G386" s="44">
        <f t="shared" si="18"/>
        <v>2355.2000000000003</v>
      </c>
      <c r="H386" s="44">
        <f t="shared" si="18"/>
        <v>1.1185</v>
      </c>
      <c r="I386" s="44">
        <f t="shared" si="18"/>
        <v>63.674999999999997</v>
      </c>
      <c r="J386" s="44">
        <f t="shared" si="18"/>
        <v>388.16999999999996</v>
      </c>
      <c r="K386" s="44">
        <f t="shared" si="18"/>
        <v>17.015000000000001</v>
      </c>
      <c r="L386" s="44">
        <f t="shared" si="18"/>
        <v>893.66</v>
      </c>
      <c r="M386" s="44">
        <f t="shared" si="18"/>
        <v>1546.79</v>
      </c>
      <c r="N386" s="44">
        <f t="shared" si="18"/>
        <v>343.20904761904762</v>
      </c>
      <c r="O386" s="44">
        <f t="shared" si="18"/>
        <v>21.079000000000001</v>
      </c>
    </row>
    <row r="387" spans="1:15" ht="15.75" x14ac:dyDescent="0.2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</row>
    <row r="388" spans="1:15" ht="18" x14ac:dyDescent="0.25">
      <c r="A388" s="1" t="s">
        <v>139</v>
      </c>
    </row>
    <row r="390" spans="1:15" ht="15.75" x14ac:dyDescent="0.25">
      <c r="A390" s="2" t="s">
        <v>19</v>
      </c>
      <c r="B390" s="4"/>
      <c r="C390" s="4"/>
      <c r="D390" s="4"/>
      <c r="E390" s="4"/>
      <c r="F390" s="4"/>
      <c r="G390" s="5"/>
      <c r="H390" s="4"/>
      <c r="I390" s="4"/>
      <c r="J390" s="4"/>
      <c r="K390" s="4"/>
      <c r="L390" s="4"/>
      <c r="M390" s="4"/>
      <c r="N390" s="4"/>
      <c r="O390" s="4"/>
    </row>
    <row r="391" spans="1:15" ht="15" x14ac:dyDescent="0.2">
      <c r="A391" s="62" t="s">
        <v>17</v>
      </c>
      <c r="B391" s="61" t="s">
        <v>0</v>
      </c>
      <c r="C391" s="61" t="s">
        <v>1</v>
      </c>
      <c r="D391" s="63" t="s">
        <v>9</v>
      </c>
      <c r="E391" s="64"/>
      <c r="F391" s="65"/>
      <c r="G391" s="61" t="s">
        <v>10</v>
      </c>
      <c r="H391" s="61" t="s">
        <v>7</v>
      </c>
      <c r="I391" s="61"/>
      <c r="J391" s="61"/>
      <c r="K391" s="61"/>
      <c r="L391" s="61" t="s">
        <v>8</v>
      </c>
      <c r="M391" s="61"/>
      <c r="N391" s="61"/>
      <c r="O391" s="61"/>
    </row>
    <row r="392" spans="1:15" ht="30" x14ac:dyDescent="0.2">
      <c r="A392" s="62"/>
      <c r="B392" s="61"/>
      <c r="C392" s="61"/>
      <c r="D392" s="41" t="s">
        <v>2</v>
      </c>
      <c r="E392" s="42" t="s">
        <v>3</v>
      </c>
      <c r="F392" s="42" t="s">
        <v>4</v>
      </c>
      <c r="G392" s="61"/>
      <c r="H392" s="42" t="s">
        <v>11</v>
      </c>
      <c r="I392" s="42" t="s">
        <v>12</v>
      </c>
      <c r="J392" s="42" t="s">
        <v>13</v>
      </c>
      <c r="K392" s="42" t="s">
        <v>5</v>
      </c>
      <c r="L392" s="43" t="s">
        <v>14</v>
      </c>
      <c r="M392" s="42" t="s">
        <v>15</v>
      </c>
      <c r="N392" s="42" t="s">
        <v>6</v>
      </c>
      <c r="O392" s="42" t="s">
        <v>16</v>
      </c>
    </row>
    <row r="393" spans="1:15" s="7" customFormat="1" ht="15.75" x14ac:dyDescent="0.25">
      <c r="A393" s="44"/>
      <c r="B393" s="44" t="s">
        <v>372</v>
      </c>
      <c r="C393" s="44"/>
      <c r="D393" s="44">
        <f>D394+D396+D400+D406</f>
        <v>19.82</v>
      </c>
      <c r="E393" s="44">
        <f t="shared" ref="E393:O393" si="19">E394+E396+E400+E406</f>
        <v>21.580000000000002</v>
      </c>
      <c r="F393" s="44">
        <f t="shared" si="19"/>
        <v>52.94</v>
      </c>
      <c r="G393" s="44">
        <f t="shared" si="19"/>
        <v>485.20000000000005</v>
      </c>
      <c r="H393" s="44">
        <f t="shared" si="19"/>
        <v>0.158</v>
      </c>
      <c r="I393" s="44">
        <f t="shared" si="19"/>
        <v>1.7800000000000002</v>
      </c>
      <c r="J393" s="44">
        <f t="shared" si="19"/>
        <v>112.1</v>
      </c>
      <c r="K393" s="44">
        <f t="shared" si="19"/>
        <v>1.02</v>
      </c>
      <c r="L393" s="44">
        <f t="shared" si="19"/>
        <v>424.80000000000007</v>
      </c>
      <c r="M393" s="44">
        <f t="shared" si="19"/>
        <v>380.78</v>
      </c>
      <c r="N393" s="44">
        <f t="shared" si="19"/>
        <v>49.8</v>
      </c>
      <c r="O393" s="44">
        <f t="shared" si="19"/>
        <v>2.702</v>
      </c>
    </row>
    <row r="394" spans="1:15" ht="15.75" x14ac:dyDescent="0.25">
      <c r="A394" s="45"/>
      <c r="B394" s="44" t="s">
        <v>140</v>
      </c>
      <c r="C394" s="45">
        <v>40</v>
      </c>
      <c r="D394" s="45">
        <v>5.0999999999999996</v>
      </c>
      <c r="E394" s="45">
        <v>4.5999999999999996</v>
      </c>
      <c r="F394" s="45">
        <v>0.3</v>
      </c>
      <c r="G394" s="45">
        <v>63</v>
      </c>
      <c r="H394" s="45">
        <v>0.03</v>
      </c>
      <c r="I394" s="45">
        <v>0</v>
      </c>
      <c r="J394" s="45">
        <v>0.1</v>
      </c>
      <c r="K394" s="45">
        <v>0.2</v>
      </c>
      <c r="L394" s="45">
        <v>22</v>
      </c>
      <c r="M394" s="45">
        <v>77</v>
      </c>
      <c r="N394" s="45">
        <v>5</v>
      </c>
      <c r="O394" s="45">
        <v>1</v>
      </c>
    </row>
    <row r="395" spans="1:15" ht="15.75" x14ac:dyDescent="0.25">
      <c r="A395" s="45"/>
      <c r="B395" s="45" t="s">
        <v>141</v>
      </c>
      <c r="C395" s="45">
        <v>40</v>
      </c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</row>
    <row r="396" spans="1:15" ht="15.75" x14ac:dyDescent="0.25">
      <c r="A396" s="45">
        <v>63</v>
      </c>
      <c r="B396" s="44" t="s">
        <v>142</v>
      </c>
      <c r="C396" s="45">
        <v>45</v>
      </c>
      <c r="D396" s="45">
        <v>6.9</v>
      </c>
      <c r="E396" s="45">
        <v>9.1</v>
      </c>
      <c r="F396" s="45">
        <v>9.9</v>
      </c>
      <c r="G396" s="45">
        <v>149</v>
      </c>
      <c r="H396" s="45">
        <v>0.03</v>
      </c>
      <c r="I396" s="45">
        <v>0.1</v>
      </c>
      <c r="J396" s="45">
        <v>62.3</v>
      </c>
      <c r="K396" s="45">
        <v>0.3</v>
      </c>
      <c r="L396" s="45">
        <v>206.8</v>
      </c>
      <c r="M396" s="45">
        <v>135.5</v>
      </c>
      <c r="N396" s="45">
        <v>13.9</v>
      </c>
      <c r="O396" s="45">
        <v>0.37</v>
      </c>
    </row>
    <row r="397" spans="1:15" ht="15.75" x14ac:dyDescent="0.25">
      <c r="A397" s="45"/>
      <c r="B397" s="45" t="s">
        <v>339</v>
      </c>
      <c r="C397" s="45">
        <v>20</v>
      </c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</row>
    <row r="398" spans="1:15" ht="15.75" x14ac:dyDescent="0.25">
      <c r="A398" s="45"/>
      <c r="B398" s="45" t="s">
        <v>23</v>
      </c>
      <c r="C398" s="45">
        <v>5</v>
      </c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</row>
    <row r="399" spans="1:15" ht="15.75" x14ac:dyDescent="0.25">
      <c r="A399" s="45"/>
      <c r="B399" s="45" t="s">
        <v>27</v>
      </c>
      <c r="C399" s="45">
        <v>20</v>
      </c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</row>
    <row r="400" spans="1:15" ht="15.75" x14ac:dyDescent="0.25">
      <c r="A400" s="45">
        <v>227</v>
      </c>
      <c r="B400" s="44" t="s">
        <v>143</v>
      </c>
      <c r="C400" s="45">
        <v>200</v>
      </c>
      <c r="D400" s="45">
        <f>31.1/1000*200</f>
        <v>6.2200000000000006</v>
      </c>
      <c r="E400" s="45">
        <f>32.9/1000*200</f>
        <v>6.58</v>
      </c>
      <c r="F400" s="45">
        <f>156.2/1000*200</f>
        <v>31.239999999999995</v>
      </c>
      <c r="G400" s="45">
        <f>1046/1000*200</f>
        <v>209.20000000000002</v>
      </c>
      <c r="H400" s="45">
        <f>0.39/1000*200</f>
        <v>7.8E-2</v>
      </c>
      <c r="I400" s="45">
        <f>6.9/1000*200</f>
        <v>1.3800000000000001</v>
      </c>
      <c r="J400" s="45">
        <f>201/1000*200</f>
        <v>40.200000000000003</v>
      </c>
      <c r="K400" s="45">
        <f>2.6/1000*200</f>
        <v>0.52</v>
      </c>
      <c r="L400" s="45">
        <f>684.5/1000*200</f>
        <v>136.9</v>
      </c>
      <c r="M400" s="45">
        <f>611.9/1000*200</f>
        <v>122.38</v>
      </c>
      <c r="N400" s="45">
        <f>102/1000*200</f>
        <v>20.399999999999999</v>
      </c>
      <c r="O400" s="45">
        <f>2.31/1000*200</f>
        <v>0.46200000000000002</v>
      </c>
    </row>
    <row r="401" spans="1:15" ht="15.75" x14ac:dyDescent="0.25">
      <c r="A401" s="45"/>
      <c r="B401" s="45" t="s">
        <v>92</v>
      </c>
      <c r="C401" s="45">
        <f>154/1000*200</f>
        <v>30.8</v>
      </c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</row>
    <row r="402" spans="1:15" ht="15.75" x14ac:dyDescent="0.25">
      <c r="A402" s="45"/>
      <c r="B402" s="45" t="s">
        <v>23</v>
      </c>
      <c r="C402" s="45">
        <f>25/1000*200</f>
        <v>5</v>
      </c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</row>
    <row r="403" spans="1:15" ht="15.75" x14ac:dyDescent="0.25">
      <c r="A403" s="45"/>
      <c r="B403" s="45" t="s">
        <v>47</v>
      </c>
      <c r="C403" s="45">
        <v>1</v>
      </c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</row>
    <row r="404" spans="1:15" ht="15.75" x14ac:dyDescent="0.25">
      <c r="A404" s="45"/>
      <c r="B404" s="45" t="s">
        <v>22</v>
      </c>
      <c r="C404" s="45">
        <v>5</v>
      </c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</row>
    <row r="405" spans="1:15" ht="15.75" x14ac:dyDescent="0.25">
      <c r="A405" s="45"/>
      <c r="B405" s="45" t="s">
        <v>25</v>
      </c>
      <c r="C405" s="45">
        <f>530/1000*200</f>
        <v>106</v>
      </c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</row>
    <row r="406" spans="1:15" ht="15.75" x14ac:dyDescent="0.25">
      <c r="A406" s="45">
        <v>460</v>
      </c>
      <c r="B406" s="44" t="s">
        <v>144</v>
      </c>
      <c r="C406" s="45">
        <v>200</v>
      </c>
      <c r="D406" s="45">
        <v>1.6</v>
      </c>
      <c r="E406" s="45">
        <v>1.3</v>
      </c>
      <c r="F406" s="45">
        <v>11.5</v>
      </c>
      <c r="G406" s="45">
        <v>64</v>
      </c>
      <c r="H406" s="45">
        <v>0.02</v>
      </c>
      <c r="I406" s="45">
        <v>0.3</v>
      </c>
      <c r="J406" s="45">
        <v>9.5</v>
      </c>
      <c r="K406" s="45">
        <v>0</v>
      </c>
      <c r="L406" s="45">
        <v>59.1</v>
      </c>
      <c r="M406" s="45">
        <v>45.9</v>
      </c>
      <c r="N406" s="45">
        <v>10.5</v>
      </c>
      <c r="O406" s="45">
        <v>0.87</v>
      </c>
    </row>
    <row r="407" spans="1:15" ht="15.75" x14ac:dyDescent="0.25">
      <c r="A407" s="45"/>
      <c r="B407" s="45" t="s">
        <v>25</v>
      </c>
      <c r="C407" s="45">
        <v>50</v>
      </c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</row>
    <row r="408" spans="1:15" ht="15.75" x14ac:dyDescent="0.25">
      <c r="A408" s="45"/>
      <c r="B408" s="45" t="s">
        <v>22</v>
      </c>
      <c r="C408" s="45">
        <v>10</v>
      </c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</row>
    <row r="409" spans="1:15" ht="15.75" x14ac:dyDescent="0.25">
      <c r="A409" s="45"/>
      <c r="B409" s="45" t="s">
        <v>71</v>
      </c>
      <c r="C409" s="45">
        <v>1</v>
      </c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</row>
    <row r="410" spans="1:15" ht="15.75" x14ac:dyDescent="0.25">
      <c r="A410" s="45"/>
      <c r="B410" s="44" t="s">
        <v>107</v>
      </c>
      <c r="C410" s="45">
        <v>40</v>
      </c>
      <c r="D410" s="45">
        <v>3.04</v>
      </c>
      <c r="E410" s="45">
        <v>0.32</v>
      </c>
      <c r="F410" s="45">
        <v>19.68</v>
      </c>
      <c r="G410" s="45">
        <v>94</v>
      </c>
      <c r="H410" s="45">
        <v>0.04</v>
      </c>
      <c r="I410" s="45">
        <v>0</v>
      </c>
      <c r="J410" s="45">
        <v>0</v>
      </c>
      <c r="K410" s="45">
        <v>0.44</v>
      </c>
      <c r="L410" s="45">
        <v>8</v>
      </c>
      <c r="M410" s="45">
        <v>26</v>
      </c>
      <c r="N410" s="45">
        <v>5.6</v>
      </c>
      <c r="O410" s="45">
        <v>0.44</v>
      </c>
    </row>
    <row r="411" spans="1:15" ht="15.75" x14ac:dyDescent="0.25">
      <c r="A411" s="45"/>
      <c r="B411" s="44" t="s">
        <v>73</v>
      </c>
      <c r="C411" s="45">
        <v>30</v>
      </c>
      <c r="D411" s="45">
        <v>2.64</v>
      </c>
      <c r="E411" s="45">
        <v>0.48</v>
      </c>
      <c r="F411" s="45">
        <v>13.36</v>
      </c>
      <c r="G411" s="45">
        <v>69.599999999999994</v>
      </c>
      <c r="H411" s="45">
        <v>7.0000000000000007E-2</v>
      </c>
      <c r="I411" s="45">
        <v>0</v>
      </c>
      <c r="J411" s="45">
        <v>0</v>
      </c>
      <c r="K411" s="45">
        <v>0.56000000000000005</v>
      </c>
      <c r="L411" s="45">
        <v>14</v>
      </c>
      <c r="M411" s="45">
        <v>63.2</v>
      </c>
      <c r="N411" s="45">
        <v>18.8</v>
      </c>
      <c r="O411" s="45">
        <v>1.56</v>
      </c>
    </row>
    <row r="412" spans="1:15" ht="15.75" x14ac:dyDescent="0.25">
      <c r="A412" s="45">
        <v>82</v>
      </c>
      <c r="B412" s="44" t="s">
        <v>356</v>
      </c>
      <c r="C412" s="45">
        <v>100</v>
      </c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</row>
    <row r="413" spans="1:15" s="7" customFormat="1" ht="15.75" x14ac:dyDescent="0.25">
      <c r="A413" s="44"/>
      <c r="B413" s="44" t="s">
        <v>373</v>
      </c>
      <c r="C413" s="44"/>
      <c r="D413" s="44">
        <f t="shared" ref="D413:O413" si="20">D414+D420+D428+D433+D437+D441+D442</f>
        <v>44.524999999999999</v>
      </c>
      <c r="E413" s="44">
        <f t="shared" si="20"/>
        <v>30.734999999999999</v>
      </c>
      <c r="F413" s="44">
        <f t="shared" si="20"/>
        <v>80.375</v>
      </c>
      <c r="G413" s="44">
        <f t="shared" si="20"/>
        <v>776.23</v>
      </c>
      <c r="H413" s="44">
        <f t="shared" si="20"/>
        <v>0.49299999999999999</v>
      </c>
      <c r="I413" s="44">
        <f t="shared" si="20"/>
        <v>12.709999999999999</v>
      </c>
      <c r="J413" s="44">
        <f t="shared" si="20"/>
        <v>150.41785714285714</v>
      </c>
      <c r="K413" s="44">
        <f t="shared" si="20"/>
        <v>3.9750000000000005</v>
      </c>
      <c r="L413" s="44">
        <f t="shared" si="20"/>
        <v>175.19</v>
      </c>
      <c r="M413" s="44">
        <f t="shared" si="20"/>
        <v>411.44500000000005</v>
      </c>
      <c r="N413" s="44">
        <f t="shared" si="20"/>
        <v>125.31571428571429</v>
      </c>
      <c r="O413" s="44">
        <f t="shared" si="20"/>
        <v>9.4110000000000014</v>
      </c>
    </row>
    <row r="414" spans="1:15" ht="31.5" x14ac:dyDescent="0.25">
      <c r="A414" s="45">
        <v>5</v>
      </c>
      <c r="B414" s="44" t="s">
        <v>291</v>
      </c>
      <c r="C414" s="45">
        <v>60</v>
      </c>
      <c r="D414" s="45">
        <f>1.3/100*60</f>
        <v>0.78</v>
      </c>
      <c r="E414" s="45">
        <f>6.1/100*60</f>
        <v>3.66</v>
      </c>
      <c r="F414" s="45">
        <f>2.8/100*60</f>
        <v>1.6799999999999997</v>
      </c>
      <c r="G414" s="45">
        <f>71/100*60</f>
        <v>42.599999999999994</v>
      </c>
      <c r="H414" s="45">
        <f>0.03/100*60</f>
        <v>1.7999999999999999E-2</v>
      </c>
      <c r="I414" s="45">
        <f>13.3/100*60</f>
        <v>7.98</v>
      </c>
      <c r="J414" s="45">
        <v>0</v>
      </c>
      <c r="K414" s="45">
        <f>2.7/100*60</f>
        <v>1.62</v>
      </c>
      <c r="L414" s="45">
        <f>34.4/100*60</f>
        <v>20.639999999999997</v>
      </c>
      <c r="M414" s="45">
        <f>30.5/100*60</f>
        <v>18.3</v>
      </c>
      <c r="N414" s="45">
        <f>15.3/100*60</f>
        <v>9.18</v>
      </c>
      <c r="O414" s="45">
        <f>0.56/100*60</f>
        <v>0.33600000000000008</v>
      </c>
    </row>
    <row r="415" spans="1:15" ht="15.75" x14ac:dyDescent="0.25">
      <c r="A415" s="45"/>
      <c r="B415" s="45" t="s">
        <v>292</v>
      </c>
      <c r="C415" s="45">
        <f>47.4/100*60</f>
        <v>28.439999999999998</v>
      </c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</row>
    <row r="416" spans="1:15" ht="15.75" x14ac:dyDescent="0.25">
      <c r="A416" s="45"/>
      <c r="B416" s="45" t="s">
        <v>47</v>
      </c>
      <c r="C416" s="45">
        <f>0.25/100*60</f>
        <v>0.15</v>
      </c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</row>
    <row r="417" spans="1:15" ht="15.75" x14ac:dyDescent="0.25">
      <c r="A417" s="45"/>
      <c r="B417" s="45" t="s">
        <v>38</v>
      </c>
      <c r="C417" s="45">
        <f>55.2/100*60</f>
        <v>33.120000000000005</v>
      </c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</row>
    <row r="418" spans="1:15" ht="15.75" x14ac:dyDescent="0.25">
      <c r="A418" s="45"/>
      <c r="B418" s="45" t="s">
        <v>42</v>
      </c>
      <c r="C418" s="45">
        <f>5/100*60</f>
        <v>3</v>
      </c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</row>
    <row r="419" spans="1:15" ht="15.75" x14ac:dyDescent="0.25">
      <c r="A419" s="45"/>
      <c r="B419" s="45" t="s">
        <v>41</v>
      </c>
      <c r="C419" s="45">
        <f>6/100*60</f>
        <v>3.5999999999999996</v>
      </c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</row>
    <row r="420" spans="1:15" ht="15.75" x14ac:dyDescent="0.25">
      <c r="A420" s="45">
        <v>111</v>
      </c>
      <c r="B420" s="44" t="s">
        <v>52</v>
      </c>
      <c r="C420" s="45">
        <v>250</v>
      </c>
      <c r="D420" s="45">
        <f>53.3/1000*250</f>
        <v>13.324999999999999</v>
      </c>
      <c r="E420" s="45">
        <f>51.3/1000*250</f>
        <v>12.824999999999999</v>
      </c>
      <c r="F420" s="45">
        <f>13.9/1000*250</f>
        <v>3.4750000000000001</v>
      </c>
      <c r="G420" s="45">
        <f>731/1000*250</f>
        <v>182.75</v>
      </c>
      <c r="H420" s="45">
        <f>0.2/1000*250</f>
        <v>0.05</v>
      </c>
      <c r="I420" s="45">
        <f>11.4/1000*250</f>
        <v>2.85</v>
      </c>
      <c r="J420" s="45">
        <f>314.5/1000*250</f>
        <v>78.625</v>
      </c>
      <c r="K420" s="45">
        <f>1.66/1000*250</f>
        <v>0.41499999999999998</v>
      </c>
      <c r="L420" s="45">
        <f>171/1000*250</f>
        <v>42.75</v>
      </c>
      <c r="M420" s="45">
        <f>398.5/1000*250</f>
        <v>99.625</v>
      </c>
      <c r="N420" s="45">
        <f>101.2/1000*250</f>
        <v>25.3</v>
      </c>
      <c r="O420" s="45">
        <f>6.7/1000*250</f>
        <v>1.675</v>
      </c>
    </row>
    <row r="421" spans="1:15" ht="15.75" x14ac:dyDescent="0.25">
      <c r="A421" s="45"/>
      <c r="B421" s="45" t="s">
        <v>146</v>
      </c>
      <c r="C421" s="45">
        <f>118.5/1000*250</f>
        <v>29.625</v>
      </c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</row>
    <row r="422" spans="1:15" ht="15.75" x14ac:dyDescent="0.25">
      <c r="A422" s="45"/>
      <c r="B422" s="45" t="s">
        <v>34</v>
      </c>
      <c r="C422" s="45">
        <v>12.5</v>
      </c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</row>
    <row r="423" spans="1:15" ht="15.75" x14ac:dyDescent="0.25">
      <c r="A423" s="45"/>
      <c r="B423" s="45" t="s">
        <v>23</v>
      </c>
      <c r="C423" s="45">
        <f>20/1000*250</f>
        <v>5</v>
      </c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</row>
    <row r="424" spans="1:15" ht="15.75" x14ac:dyDescent="0.25">
      <c r="A424" s="45"/>
      <c r="B424" s="45" t="s">
        <v>54</v>
      </c>
      <c r="C424" s="45">
        <f>99/1000*250</f>
        <v>24.75</v>
      </c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</row>
    <row r="425" spans="1:15" ht="15.75" x14ac:dyDescent="0.25">
      <c r="A425" s="45"/>
      <c r="B425" s="45" t="s">
        <v>36</v>
      </c>
      <c r="C425" s="45">
        <v>24.55</v>
      </c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</row>
    <row r="426" spans="1:15" ht="15.75" x14ac:dyDescent="0.25">
      <c r="A426" s="45"/>
      <c r="B426" s="45" t="s">
        <v>55</v>
      </c>
      <c r="C426" s="45">
        <f>20.7/1000*250</f>
        <v>5.1749999999999998</v>
      </c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</row>
    <row r="427" spans="1:15" ht="15.75" x14ac:dyDescent="0.25">
      <c r="A427" s="45"/>
      <c r="B427" s="45" t="s">
        <v>40</v>
      </c>
      <c r="C427" s="45">
        <v>225</v>
      </c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</row>
    <row r="428" spans="1:15" ht="31.5" x14ac:dyDescent="0.25">
      <c r="A428" s="45">
        <v>372</v>
      </c>
      <c r="B428" s="44" t="s">
        <v>147</v>
      </c>
      <c r="C428" s="45">
        <v>80</v>
      </c>
      <c r="D428" s="45">
        <v>12.34</v>
      </c>
      <c r="E428" s="45">
        <v>7.65</v>
      </c>
      <c r="F428" s="45">
        <v>7.08</v>
      </c>
      <c r="G428" s="45">
        <v>146.28</v>
      </c>
      <c r="H428" s="45">
        <v>0.05</v>
      </c>
      <c r="I428" s="45">
        <v>0.68</v>
      </c>
      <c r="J428" s="45">
        <f>40.9/70*80</f>
        <v>46.742857142857147</v>
      </c>
      <c r="K428" s="45">
        <v>0.45</v>
      </c>
      <c r="L428" s="45">
        <v>31.65</v>
      </c>
      <c r="M428" s="45">
        <v>78.62</v>
      </c>
      <c r="N428" s="45">
        <f>13.2/70*80</f>
        <v>15.085714285714285</v>
      </c>
      <c r="O428" s="45">
        <v>1.1000000000000001</v>
      </c>
    </row>
    <row r="429" spans="1:15" ht="15.75" x14ac:dyDescent="0.25">
      <c r="A429" s="45"/>
      <c r="B429" s="45" t="s">
        <v>285</v>
      </c>
      <c r="C429" s="45">
        <v>60.57</v>
      </c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</row>
    <row r="430" spans="1:15" ht="15.75" x14ac:dyDescent="0.25">
      <c r="A430" s="45"/>
      <c r="B430" s="45" t="s">
        <v>41</v>
      </c>
      <c r="C430" s="45">
        <v>2.2799999999999998</v>
      </c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</row>
    <row r="431" spans="1:15" ht="15.75" x14ac:dyDescent="0.25">
      <c r="A431" s="45"/>
      <c r="B431" s="45" t="s">
        <v>25</v>
      </c>
      <c r="C431" s="45">
        <v>20.57</v>
      </c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</row>
    <row r="432" spans="1:15" ht="15.75" x14ac:dyDescent="0.25">
      <c r="A432" s="45"/>
      <c r="B432" s="45" t="s">
        <v>27</v>
      </c>
      <c r="C432" s="45">
        <v>14.85</v>
      </c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</row>
    <row r="433" spans="1:15" ht="15.75" x14ac:dyDescent="0.25">
      <c r="A433" s="45">
        <v>391</v>
      </c>
      <c r="B433" s="44" t="s">
        <v>148</v>
      </c>
      <c r="C433" s="45">
        <v>150</v>
      </c>
      <c r="D433" s="45">
        <f>8.2/100*150</f>
        <v>12.299999999999999</v>
      </c>
      <c r="E433" s="45">
        <f>3.8/100*150</f>
        <v>5.7</v>
      </c>
      <c r="F433" s="45">
        <f>16/100*150</f>
        <v>24</v>
      </c>
      <c r="G433" s="45">
        <f>130/100*150</f>
        <v>195</v>
      </c>
      <c r="H433" s="45">
        <f>0.17/100*150</f>
        <v>0.255</v>
      </c>
      <c r="I433" s="45">
        <f>0.4/100*150</f>
        <v>0.6</v>
      </c>
      <c r="J433" s="45">
        <f>16.7/100*150</f>
        <v>25.049999999999997</v>
      </c>
      <c r="K433" s="45">
        <f>0.3/100*150</f>
        <v>0.45</v>
      </c>
      <c r="L433" s="45">
        <f>36.5/100*150</f>
        <v>54.75</v>
      </c>
      <c r="M433" s="45">
        <f>82.4/100*150</f>
        <v>123.60000000000001</v>
      </c>
      <c r="N433" s="45">
        <f>33.1/100*150</f>
        <v>49.650000000000006</v>
      </c>
      <c r="O433" s="45">
        <f>2.56/100*150</f>
        <v>3.8400000000000003</v>
      </c>
    </row>
    <row r="434" spans="1:15" ht="15.75" x14ac:dyDescent="0.25">
      <c r="A434" s="45"/>
      <c r="B434" s="45" t="s">
        <v>47</v>
      </c>
      <c r="C434" s="45">
        <f>1/100*150</f>
        <v>1.5</v>
      </c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</row>
    <row r="435" spans="1:15" ht="15.75" x14ac:dyDescent="0.25">
      <c r="A435" s="45"/>
      <c r="B435" s="45" t="s">
        <v>149</v>
      </c>
      <c r="C435" s="45">
        <f>35.8/100*150</f>
        <v>53.699999999999996</v>
      </c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</row>
    <row r="436" spans="1:15" ht="15.75" x14ac:dyDescent="0.25">
      <c r="A436" s="45"/>
      <c r="B436" s="45" t="s">
        <v>23</v>
      </c>
      <c r="C436" s="45">
        <f>4.4/100*150</f>
        <v>6.6000000000000005</v>
      </c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</row>
    <row r="437" spans="1:15" ht="15.75" x14ac:dyDescent="0.25">
      <c r="A437" s="45">
        <v>486</v>
      </c>
      <c r="B437" s="44" t="s">
        <v>290</v>
      </c>
      <c r="C437" s="45">
        <v>200</v>
      </c>
      <c r="D437" s="45">
        <v>0.1</v>
      </c>
      <c r="E437" s="45">
        <v>0.1</v>
      </c>
      <c r="F437" s="45">
        <v>11.1</v>
      </c>
      <c r="G437" s="45">
        <v>46</v>
      </c>
      <c r="H437" s="45">
        <v>0.01</v>
      </c>
      <c r="I437" s="45">
        <v>0.6</v>
      </c>
      <c r="J437" s="45">
        <v>0</v>
      </c>
      <c r="K437" s="45">
        <v>0.04</v>
      </c>
      <c r="L437" s="45">
        <v>3.4</v>
      </c>
      <c r="M437" s="45">
        <v>2.1</v>
      </c>
      <c r="N437" s="45">
        <v>1.7</v>
      </c>
      <c r="O437" s="45">
        <v>0.46</v>
      </c>
    </row>
    <row r="438" spans="1:15" ht="15.75" x14ac:dyDescent="0.25">
      <c r="A438" s="45"/>
      <c r="B438" s="45" t="s">
        <v>334</v>
      </c>
      <c r="C438" s="45">
        <v>23</v>
      </c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</row>
    <row r="439" spans="1:15" ht="15.75" x14ac:dyDescent="0.25">
      <c r="A439" s="45"/>
      <c r="B439" s="45" t="s">
        <v>22</v>
      </c>
      <c r="C439" s="45">
        <v>10</v>
      </c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</row>
    <row r="440" spans="1:15" ht="15.75" x14ac:dyDescent="0.25">
      <c r="A440" s="45"/>
      <c r="B440" s="45" t="s">
        <v>42</v>
      </c>
      <c r="C440" s="45">
        <v>10</v>
      </c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</row>
    <row r="441" spans="1:15" ht="15.75" x14ac:dyDescent="0.25">
      <c r="A441" s="45"/>
      <c r="B441" s="44" t="s">
        <v>107</v>
      </c>
      <c r="C441" s="45">
        <v>40</v>
      </c>
      <c r="D441" s="45">
        <v>3.04</v>
      </c>
      <c r="E441" s="45">
        <v>0.32</v>
      </c>
      <c r="F441" s="45">
        <v>19.68</v>
      </c>
      <c r="G441" s="45">
        <v>94</v>
      </c>
      <c r="H441" s="45">
        <v>0.04</v>
      </c>
      <c r="I441" s="45">
        <v>0</v>
      </c>
      <c r="J441" s="45">
        <v>0</v>
      </c>
      <c r="K441" s="45">
        <v>0.44</v>
      </c>
      <c r="L441" s="45">
        <v>8</v>
      </c>
      <c r="M441" s="45">
        <v>26</v>
      </c>
      <c r="N441" s="45">
        <v>5.6</v>
      </c>
      <c r="O441" s="45">
        <v>0.44</v>
      </c>
    </row>
    <row r="442" spans="1:15" ht="15.75" x14ac:dyDescent="0.25">
      <c r="A442" s="45"/>
      <c r="B442" s="44" t="s">
        <v>73</v>
      </c>
      <c r="C442" s="45">
        <v>30</v>
      </c>
      <c r="D442" s="45">
        <v>2.64</v>
      </c>
      <c r="E442" s="45">
        <v>0.48</v>
      </c>
      <c r="F442" s="45">
        <v>13.36</v>
      </c>
      <c r="G442" s="45">
        <v>69.599999999999994</v>
      </c>
      <c r="H442" s="45">
        <v>7.0000000000000007E-2</v>
      </c>
      <c r="I442" s="45">
        <v>0</v>
      </c>
      <c r="J442" s="45">
        <v>0</v>
      </c>
      <c r="K442" s="45">
        <v>0.56000000000000005</v>
      </c>
      <c r="L442" s="45">
        <v>14</v>
      </c>
      <c r="M442" s="45">
        <v>63.2</v>
      </c>
      <c r="N442" s="45">
        <v>18.8</v>
      </c>
      <c r="O442" s="45">
        <v>1.56</v>
      </c>
    </row>
    <row r="443" spans="1:15" s="7" customFormat="1" ht="15.75" x14ac:dyDescent="0.25">
      <c r="A443" s="44"/>
      <c r="B443" s="44" t="s">
        <v>374</v>
      </c>
      <c r="C443" s="44"/>
      <c r="D443" s="44">
        <f t="shared" ref="D443:O443" si="21">D444+D449+D455+D462+D473+D476+D477</f>
        <v>52.410000000000004</v>
      </c>
      <c r="E443" s="44">
        <f t="shared" si="21"/>
        <v>29.730000000000004</v>
      </c>
      <c r="F443" s="44">
        <f t="shared" si="21"/>
        <v>74.335000000000008</v>
      </c>
      <c r="G443" s="44">
        <f t="shared" si="21"/>
        <v>670.2</v>
      </c>
      <c r="H443" s="44">
        <f t="shared" si="21"/>
        <v>0.3695</v>
      </c>
      <c r="I443" s="44">
        <f t="shared" si="21"/>
        <v>20.48</v>
      </c>
      <c r="J443" s="44">
        <f t="shared" si="21"/>
        <v>39.86</v>
      </c>
      <c r="K443" s="44">
        <f t="shared" si="21"/>
        <v>9.0749999999999993</v>
      </c>
      <c r="L443" s="44">
        <f t="shared" si="21"/>
        <v>150.095</v>
      </c>
      <c r="M443" s="44">
        <f t="shared" si="21"/>
        <v>406.53</v>
      </c>
      <c r="N443" s="44">
        <f t="shared" si="21"/>
        <v>92.749999999999986</v>
      </c>
      <c r="O443" s="44">
        <f t="shared" si="21"/>
        <v>6.1735000000000007</v>
      </c>
    </row>
    <row r="444" spans="1:15" ht="31.5" x14ac:dyDescent="0.25">
      <c r="A444" s="45">
        <v>25</v>
      </c>
      <c r="B444" s="44" t="s">
        <v>151</v>
      </c>
      <c r="C444" s="45">
        <v>60</v>
      </c>
      <c r="D444" s="45">
        <f>1.9/100*60</f>
        <v>1.1399999999999999</v>
      </c>
      <c r="E444" s="45">
        <f>6.1/100*60</f>
        <v>3.66</v>
      </c>
      <c r="F444" s="45">
        <f>5.8/100*60</f>
        <v>3.4799999999999995</v>
      </c>
      <c r="G444" s="45">
        <f>86/100*60</f>
        <v>51.6</v>
      </c>
      <c r="H444" s="45">
        <f>0.06/100*60</f>
        <v>3.5999999999999997E-2</v>
      </c>
      <c r="I444" s="45">
        <f>1.8/100*60</f>
        <v>1.08</v>
      </c>
      <c r="J444" s="45">
        <v>0</v>
      </c>
      <c r="K444" s="45">
        <f>3.8/100*60</f>
        <v>2.2799999999999998</v>
      </c>
      <c r="L444" s="45">
        <f>22.6/100*60</f>
        <v>13.56</v>
      </c>
      <c r="M444" s="45">
        <f>51.4/100*60</f>
        <v>30.84</v>
      </c>
      <c r="N444" s="45">
        <f>27.6/100*60</f>
        <v>16.560000000000002</v>
      </c>
      <c r="O444" s="45">
        <f>0.63/100*60</f>
        <v>0.378</v>
      </c>
    </row>
    <row r="445" spans="1:15" ht="15.75" x14ac:dyDescent="0.25">
      <c r="A445" s="45"/>
      <c r="B445" s="45" t="s">
        <v>127</v>
      </c>
      <c r="C445" s="45">
        <f>40.3/100*60</f>
        <v>24.18</v>
      </c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</row>
    <row r="446" spans="1:15" ht="15.75" x14ac:dyDescent="0.25">
      <c r="A446" s="45"/>
      <c r="B446" s="45" t="s">
        <v>47</v>
      </c>
      <c r="C446" s="45">
        <f>0.25/100*60</f>
        <v>0.15</v>
      </c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</row>
    <row r="447" spans="1:15" ht="15.75" x14ac:dyDescent="0.25">
      <c r="A447" s="45"/>
      <c r="B447" s="45" t="s">
        <v>37</v>
      </c>
      <c r="C447" s="45">
        <f>54.6/100*60</f>
        <v>32.760000000000005</v>
      </c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</row>
    <row r="448" spans="1:15" ht="15.75" x14ac:dyDescent="0.25">
      <c r="A448" s="45"/>
      <c r="B448" s="45" t="s">
        <v>41</v>
      </c>
      <c r="C448" s="45">
        <f>6/100*60</f>
        <v>3.5999999999999996</v>
      </c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</row>
    <row r="449" spans="1:15" ht="15.75" x14ac:dyDescent="0.25">
      <c r="A449" s="45">
        <v>126</v>
      </c>
      <c r="B449" s="44" t="s">
        <v>234</v>
      </c>
      <c r="C449" s="45">
        <v>250</v>
      </c>
      <c r="D449" s="45">
        <f>12.8/1000*250</f>
        <v>3.2</v>
      </c>
      <c r="E449" s="45">
        <f>20.7/1000*250</f>
        <v>5.1749999999999998</v>
      </c>
      <c r="F449" s="45">
        <f>60.8/1000*250</f>
        <v>15.2</v>
      </c>
      <c r="G449" s="45">
        <f>481/1000*250</f>
        <v>120.25</v>
      </c>
      <c r="H449" s="45">
        <f>0.42/1000*250</f>
        <v>0.105</v>
      </c>
      <c r="I449" s="45">
        <f>2.8/1000*250</f>
        <v>0.7</v>
      </c>
      <c r="J449" s="45">
        <v>0</v>
      </c>
      <c r="K449" s="45">
        <f>9.5/1000*250</f>
        <v>2.375</v>
      </c>
      <c r="L449" s="45">
        <f>84.6/1000*250</f>
        <v>21.15</v>
      </c>
      <c r="M449" s="45">
        <f>301.4/1000*250</f>
        <v>75.349999999999994</v>
      </c>
      <c r="N449" s="45">
        <f>17.2/1000*250</f>
        <v>4.3</v>
      </c>
      <c r="O449" s="45">
        <f>4.08/1000*250</f>
        <v>1.02</v>
      </c>
    </row>
    <row r="450" spans="1:15" ht="15.75" x14ac:dyDescent="0.25">
      <c r="A450" s="45"/>
      <c r="B450" s="45" t="s">
        <v>36</v>
      </c>
      <c r="C450" s="45">
        <v>10.07</v>
      </c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</row>
    <row r="451" spans="1:15" ht="15.75" x14ac:dyDescent="0.25">
      <c r="A451" s="45"/>
      <c r="B451" s="45" t="s">
        <v>37</v>
      </c>
      <c r="C451" s="45">
        <f>39/1000*250</f>
        <v>9.75</v>
      </c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</row>
    <row r="452" spans="1:15" ht="15.75" x14ac:dyDescent="0.25">
      <c r="A452" s="45"/>
      <c r="B452" s="45" t="s">
        <v>47</v>
      </c>
      <c r="C452" s="45">
        <f>8/1000*250</f>
        <v>2</v>
      </c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</row>
    <row r="453" spans="1:15" ht="15.75" x14ac:dyDescent="0.25">
      <c r="A453" s="45"/>
      <c r="B453" s="45" t="s">
        <v>335</v>
      </c>
      <c r="C453" s="45">
        <f>100/1000*250</f>
        <v>25</v>
      </c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</row>
    <row r="454" spans="1:15" ht="15.75" x14ac:dyDescent="0.25">
      <c r="A454" s="45"/>
      <c r="B454" s="45" t="s">
        <v>41</v>
      </c>
      <c r="C454" s="45">
        <f>20/1000*250</f>
        <v>5</v>
      </c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</row>
    <row r="455" spans="1:15" ht="15.75" x14ac:dyDescent="0.25">
      <c r="A455" s="45">
        <v>337</v>
      </c>
      <c r="B455" s="44" t="s">
        <v>154</v>
      </c>
      <c r="C455" s="45">
        <v>80</v>
      </c>
      <c r="D455" s="45">
        <f>16.2/100*80</f>
        <v>12.96</v>
      </c>
      <c r="E455" s="45">
        <f>12.9/100*80</f>
        <v>10.32</v>
      </c>
      <c r="F455" s="45">
        <f>5.8/100*80</f>
        <v>4.6399999999999997</v>
      </c>
      <c r="G455" s="45">
        <f>205/100*80</f>
        <v>164</v>
      </c>
      <c r="H455" s="45">
        <f>0.07/100*80</f>
        <v>5.6000000000000008E-2</v>
      </c>
      <c r="I455" s="45">
        <f>0.5/100*80</f>
        <v>0.4</v>
      </c>
      <c r="J455" s="45">
        <f>8.2/100*80</f>
        <v>6.5599999999999987</v>
      </c>
      <c r="K455" s="45">
        <f>0.4/100*80</f>
        <v>0.32</v>
      </c>
      <c r="L455" s="45">
        <f>54.2/100*80</f>
        <v>43.36</v>
      </c>
      <c r="M455" s="45">
        <f>185.8/100*80</f>
        <v>148.64000000000001</v>
      </c>
      <c r="N455" s="45">
        <f>23.8/100*80</f>
        <v>19.040000000000003</v>
      </c>
      <c r="O455" s="45">
        <f>2.31/100*80</f>
        <v>1.8479999999999999</v>
      </c>
    </row>
    <row r="456" spans="1:15" ht="15.75" x14ac:dyDescent="0.25">
      <c r="A456" s="45"/>
      <c r="B456" s="45" t="s">
        <v>125</v>
      </c>
      <c r="C456" s="45">
        <f>82/100*80</f>
        <v>65.599999999999994</v>
      </c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</row>
    <row r="457" spans="1:15" ht="15.75" x14ac:dyDescent="0.25">
      <c r="A457" s="45"/>
      <c r="B457" s="45" t="s">
        <v>23</v>
      </c>
      <c r="C457" s="45">
        <f>2/100*80</f>
        <v>1.6</v>
      </c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</row>
    <row r="458" spans="1:15" ht="15.75" x14ac:dyDescent="0.25">
      <c r="A458" s="45"/>
      <c r="B458" s="45" t="s">
        <v>96</v>
      </c>
      <c r="C458" s="45">
        <f>6.6/100*80</f>
        <v>5.28</v>
      </c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</row>
    <row r="459" spans="1:15" ht="15.75" x14ac:dyDescent="0.25">
      <c r="A459" s="45"/>
      <c r="B459" s="45" t="s">
        <v>47</v>
      </c>
      <c r="C459" s="45">
        <f>0.4/100*80</f>
        <v>0.32</v>
      </c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</row>
    <row r="460" spans="1:15" ht="15.75" x14ac:dyDescent="0.25">
      <c r="A460" s="45"/>
      <c r="B460" s="45" t="s">
        <v>25</v>
      </c>
      <c r="C460" s="45">
        <f>41/100*80</f>
        <v>32.799999999999997</v>
      </c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</row>
    <row r="461" spans="1:15" ht="15.75" x14ac:dyDescent="0.25">
      <c r="A461" s="45"/>
      <c r="B461" s="45" t="s">
        <v>27</v>
      </c>
      <c r="C461" s="45">
        <f>9/100*80</f>
        <v>7.1999999999999993</v>
      </c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</row>
    <row r="462" spans="1:15" ht="15.75" x14ac:dyDescent="0.25">
      <c r="A462" s="45">
        <v>178</v>
      </c>
      <c r="B462" s="44" t="s">
        <v>155</v>
      </c>
      <c r="C462" s="45">
        <v>150</v>
      </c>
      <c r="D462" s="45">
        <f>3.7/200*1580</f>
        <v>29.230000000000004</v>
      </c>
      <c r="E462" s="45">
        <f>12.9/200*150</f>
        <v>9.6750000000000007</v>
      </c>
      <c r="F462" s="45">
        <f>9.7/200*150</f>
        <v>7.2749999999999995</v>
      </c>
      <c r="G462" s="45">
        <f>169/200*150</f>
        <v>126.75</v>
      </c>
      <c r="H462" s="45">
        <f>0.07/200*150</f>
        <v>5.2500000000000005E-2</v>
      </c>
      <c r="I462" s="45">
        <f>2.4/200*150</f>
        <v>1.8</v>
      </c>
      <c r="J462" s="45">
        <f>44.4/200*150</f>
        <v>33.299999999999997</v>
      </c>
      <c r="K462" s="45">
        <f>4/200*150</f>
        <v>3</v>
      </c>
      <c r="L462" s="45">
        <f>56.7/200*150</f>
        <v>42.525000000000006</v>
      </c>
      <c r="M462" s="45">
        <f>74.8/200*150</f>
        <v>56.1</v>
      </c>
      <c r="N462" s="45">
        <f>29.8/200*150</f>
        <v>22.349999999999998</v>
      </c>
      <c r="O462" s="45">
        <f>0.85/200*150</f>
        <v>0.63750000000000007</v>
      </c>
    </row>
    <row r="463" spans="1:15" ht="15.75" x14ac:dyDescent="0.25">
      <c r="A463" s="45"/>
      <c r="B463" s="45" t="s">
        <v>156</v>
      </c>
      <c r="C463" s="45">
        <f>32.1/200*150</f>
        <v>24.074999999999999</v>
      </c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</row>
    <row r="464" spans="1:15" ht="15.75" x14ac:dyDescent="0.25">
      <c r="A464" s="45"/>
      <c r="B464" s="45" t="s">
        <v>38</v>
      </c>
      <c r="C464" s="45">
        <f>40/200*150</f>
        <v>30</v>
      </c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</row>
    <row r="465" spans="1:15" ht="15.75" x14ac:dyDescent="0.25">
      <c r="A465" s="45"/>
      <c r="B465" s="45" t="s">
        <v>77</v>
      </c>
      <c r="C465" s="45">
        <f>64.5/200*150</f>
        <v>48.375</v>
      </c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</row>
    <row r="466" spans="1:15" ht="15.75" x14ac:dyDescent="0.25">
      <c r="A466" s="45"/>
      <c r="B466" s="45" t="s">
        <v>37</v>
      </c>
      <c r="C466" s="45">
        <f>31.2/200*150</f>
        <v>23.4</v>
      </c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</row>
    <row r="467" spans="1:15" ht="15.75" x14ac:dyDescent="0.25">
      <c r="A467" s="45"/>
      <c r="B467" s="45" t="s">
        <v>41</v>
      </c>
      <c r="C467" s="45">
        <f>8/200*150</f>
        <v>6</v>
      </c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</row>
    <row r="468" spans="1:15" ht="15.75" x14ac:dyDescent="0.25">
      <c r="A468" s="45"/>
      <c r="B468" s="45" t="s">
        <v>47</v>
      </c>
      <c r="C468" s="45">
        <f>1/200*150</f>
        <v>0.75</v>
      </c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</row>
    <row r="469" spans="1:15" ht="31.5" x14ac:dyDescent="0.25">
      <c r="A469" s="45"/>
      <c r="B469" s="45" t="s">
        <v>157</v>
      </c>
      <c r="C469" s="45">
        <f>9.7/200*150</f>
        <v>7.2749999999999995</v>
      </c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</row>
    <row r="470" spans="1:15" ht="15.75" x14ac:dyDescent="0.25">
      <c r="A470" s="45"/>
      <c r="B470" s="45" t="s">
        <v>35</v>
      </c>
      <c r="C470" s="45">
        <f>30/200*150</f>
        <v>22.5</v>
      </c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</row>
    <row r="471" spans="1:15" ht="15.75" x14ac:dyDescent="0.25">
      <c r="A471" s="45"/>
      <c r="B471" s="45" t="s">
        <v>46</v>
      </c>
      <c r="C471" s="45">
        <f>4.8/200*150</f>
        <v>3.6</v>
      </c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</row>
    <row r="472" spans="1:15" ht="15.75" x14ac:dyDescent="0.25">
      <c r="A472" s="45"/>
      <c r="B472" s="45" t="s">
        <v>23</v>
      </c>
      <c r="C472" s="45">
        <v>1.5</v>
      </c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</row>
    <row r="473" spans="1:15" ht="15.75" x14ac:dyDescent="0.25">
      <c r="A473" s="45">
        <v>491</v>
      </c>
      <c r="B473" s="44" t="s">
        <v>352</v>
      </c>
      <c r="C473" s="45">
        <v>200</v>
      </c>
      <c r="D473" s="45">
        <v>0.2</v>
      </c>
      <c r="E473" s="45">
        <v>0.1</v>
      </c>
      <c r="F473" s="45">
        <v>10.7</v>
      </c>
      <c r="G473" s="45">
        <v>44</v>
      </c>
      <c r="H473" s="45">
        <v>0.01</v>
      </c>
      <c r="I473" s="45">
        <v>16.5</v>
      </c>
      <c r="J473" s="45">
        <v>0</v>
      </c>
      <c r="K473" s="45">
        <v>0.1</v>
      </c>
      <c r="L473" s="45">
        <v>7.5</v>
      </c>
      <c r="M473" s="45">
        <v>6.4</v>
      </c>
      <c r="N473" s="45">
        <v>6.1</v>
      </c>
      <c r="O473" s="45">
        <v>0.28999999999999998</v>
      </c>
    </row>
    <row r="474" spans="1:15" ht="15.75" x14ac:dyDescent="0.25">
      <c r="A474" s="45"/>
      <c r="B474" s="45" t="s">
        <v>359</v>
      </c>
      <c r="C474" s="45">
        <v>20</v>
      </c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</row>
    <row r="475" spans="1:15" ht="15.75" x14ac:dyDescent="0.25">
      <c r="A475" s="45"/>
      <c r="B475" s="45" t="s">
        <v>22</v>
      </c>
      <c r="C475" s="45">
        <v>10</v>
      </c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</row>
    <row r="476" spans="1:15" ht="15.75" x14ac:dyDescent="0.25">
      <c r="A476" s="45"/>
      <c r="B476" s="44" t="s">
        <v>107</v>
      </c>
      <c r="C476" s="45">
        <v>40</v>
      </c>
      <c r="D476" s="45">
        <v>3.04</v>
      </c>
      <c r="E476" s="45">
        <v>0.32</v>
      </c>
      <c r="F476" s="45">
        <v>19.68</v>
      </c>
      <c r="G476" s="45">
        <v>94</v>
      </c>
      <c r="H476" s="45">
        <v>0.04</v>
      </c>
      <c r="I476" s="45">
        <v>0</v>
      </c>
      <c r="J476" s="45">
        <v>0</v>
      </c>
      <c r="K476" s="45">
        <v>0.44</v>
      </c>
      <c r="L476" s="45">
        <v>8</v>
      </c>
      <c r="M476" s="45">
        <v>26</v>
      </c>
      <c r="N476" s="45">
        <v>5.6</v>
      </c>
      <c r="O476" s="45">
        <v>0.44</v>
      </c>
    </row>
    <row r="477" spans="1:15" ht="15.75" x14ac:dyDescent="0.25">
      <c r="A477" s="45"/>
      <c r="B477" s="44" t="s">
        <v>73</v>
      </c>
      <c r="C477" s="45">
        <v>30</v>
      </c>
      <c r="D477" s="45">
        <v>2.64</v>
      </c>
      <c r="E477" s="45">
        <v>0.48</v>
      </c>
      <c r="F477" s="45">
        <v>13.36</v>
      </c>
      <c r="G477" s="45">
        <v>69.599999999999994</v>
      </c>
      <c r="H477" s="45">
        <v>7.0000000000000007E-2</v>
      </c>
      <c r="I477" s="45">
        <v>0</v>
      </c>
      <c r="J477" s="45">
        <v>0</v>
      </c>
      <c r="K477" s="45">
        <v>0.56000000000000005</v>
      </c>
      <c r="L477" s="45">
        <v>14</v>
      </c>
      <c r="M477" s="45">
        <v>63.2</v>
      </c>
      <c r="N477" s="45">
        <v>18.8</v>
      </c>
      <c r="O477" s="45">
        <v>1.56</v>
      </c>
    </row>
    <row r="478" spans="1:15" s="7" customFormat="1" ht="15.75" x14ac:dyDescent="0.25">
      <c r="A478" s="44"/>
      <c r="B478" s="44" t="s">
        <v>375</v>
      </c>
      <c r="C478" s="44"/>
      <c r="D478" s="44">
        <f>D479+D487</f>
        <v>24</v>
      </c>
      <c r="E478" s="44">
        <f t="shared" ref="E478:O478" si="22">E479+E487</f>
        <v>18.489999999999998</v>
      </c>
      <c r="F478" s="44">
        <f t="shared" si="22"/>
        <v>31.01</v>
      </c>
      <c r="G478" s="44">
        <f t="shared" si="22"/>
        <v>385.99</v>
      </c>
      <c r="H478" s="44">
        <f t="shared" si="22"/>
        <v>0.9</v>
      </c>
      <c r="I478" s="44">
        <f t="shared" si="22"/>
        <v>0.41</v>
      </c>
      <c r="J478" s="44">
        <f t="shared" si="22"/>
        <v>9</v>
      </c>
      <c r="K478" s="44">
        <f t="shared" si="22"/>
        <v>0.8</v>
      </c>
      <c r="L478" s="44">
        <f t="shared" si="22"/>
        <v>205.01</v>
      </c>
      <c r="M478" s="44">
        <f t="shared" si="22"/>
        <v>308</v>
      </c>
      <c r="N478" s="44">
        <f t="shared" si="22"/>
        <v>32</v>
      </c>
      <c r="O478" s="44">
        <f t="shared" si="22"/>
        <v>1.01</v>
      </c>
    </row>
    <row r="479" spans="1:15" ht="31.5" x14ac:dyDescent="0.25">
      <c r="A479" s="45">
        <v>286</v>
      </c>
      <c r="B479" s="44" t="s">
        <v>159</v>
      </c>
      <c r="C479" s="45">
        <v>150</v>
      </c>
      <c r="D479" s="45">
        <v>24</v>
      </c>
      <c r="E479" s="45">
        <v>18.489999999999998</v>
      </c>
      <c r="F479" s="45">
        <v>31.01</v>
      </c>
      <c r="G479" s="45">
        <v>385.99</v>
      </c>
      <c r="H479" s="45">
        <v>0.9</v>
      </c>
      <c r="I479" s="45">
        <v>0.41</v>
      </c>
      <c r="J479" s="45">
        <v>9</v>
      </c>
      <c r="K479" s="45">
        <v>0.8</v>
      </c>
      <c r="L479" s="45">
        <v>205.01</v>
      </c>
      <c r="M479" s="45">
        <v>308</v>
      </c>
      <c r="N479" s="45">
        <v>32</v>
      </c>
      <c r="O479" s="45">
        <v>1.01</v>
      </c>
    </row>
    <row r="480" spans="1:15" ht="15.75" x14ac:dyDescent="0.25">
      <c r="A480" s="45"/>
      <c r="B480" s="45" t="s">
        <v>92</v>
      </c>
      <c r="C480" s="45">
        <v>10.99</v>
      </c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</row>
    <row r="481" spans="1:15" ht="15.75" x14ac:dyDescent="0.25">
      <c r="A481" s="45"/>
      <c r="B481" s="45" t="s">
        <v>22</v>
      </c>
      <c r="C481" s="45">
        <v>15</v>
      </c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</row>
    <row r="482" spans="1:15" ht="15.75" x14ac:dyDescent="0.25">
      <c r="A482" s="45"/>
      <c r="B482" s="45" t="s">
        <v>23</v>
      </c>
      <c r="C482" s="45">
        <v>2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</row>
    <row r="483" spans="1:15" ht="15.75" x14ac:dyDescent="0.25">
      <c r="A483" s="45"/>
      <c r="B483" s="45" t="s">
        <v>94</v>
      </c>
      <c r="C483" s="45">
        <v>135</v>
      </c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</row>
    <row r="484" spans="1:15" ht="15.75" x14ac:dyDescent="0.25">
      <c r="A484" s="45"/>
      <c r="B484" s="45" t="s">
        <v>35</v>
      </c>
      <c r="C484" s="45">
        <v>4.99</v>
      </c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</row>
    <row r="485" spans="1:15" ht="15.75" x14ac:dyDescent="0.25">
      <c r="A485" s="45"/>
      <c r="B485" s="45" t="s">
        <v>46</v>
      </c>
      <c r="C485" s="45">
        <v>10.01</v>
      </c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</row>
    <row r="486" spans="1:15" ht="15.75" x14ac:dyDescent="0.25">
      <c r="A486" s="45"/>
      <c r="B486" s="45" t="s">
        <v>95</v>
      </c>
      <c r="C486" s="45">
        <v>0.01</v>
      </c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</row>
    <row r="487" spans="1:15" ht="15.75" x14ac:dyDescent="0.25">
      <c r="A487" s="45"/>
      <c r="B487" s="45" t="s">
        <v>96</v>
      </c>
      <c r="C487" s="45">
        <v>4.99</v>
      </c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</row>
    <row r="488" spans="1:15" ht="15.75" x14ac:dyDescent="0.25">
      <c r="A488" s="45"/>
      <c r="B488" s="44" t="s">
        <v>160</v>
      </c>
      <c r="C488" s="45">
        <v>200</v>
      </c>
      <c r="D488" s="45">
        <v>10</v>
      </c>
      <c r="E488" s="45">
        <v>6.4</v>
      </c>
      <c r="F488" s="45">
        <v>17</v>
      </c>
      <c r="G488" s="45">
        <v>174</v>
      </c>
      <c r="H488" s="45">
        <v>0.06</v>
      </c>
      <c r="I488" s="45">
        <v>1.2</v>
      </c>
      <c r="J488" s="45">
        <v>0.04</v>
      </c>
      <c r="K488" s="45">
        <v>0</v>
      </c>
      <c r="L488" s="45">
        <v>238</v>
      </c>
      <c r="M488" s="45">
        <v>182</v>
      </c>
      <c r="N488" s="45">
        <v>28</v>
      </c>
      <c r="O488" s="45">
        <v>0.2</v>
      </c>
    </row>
    <row r="489" spans="1:15" s="7" customFormat="1" ht="15.75" x14ac:dyDescent="0.25">
      <c r="A489" s="44"/>
      <c r="B489" s="44" t="s">
        <v>66</v>
      </c>
      <c r="C489" s="44"/>
      <c r="D489" s="44">
        <f t="shared" ref="D489:O489" si="23">D393+D413+D443+D478</f>
        <v>140.755</v>
      </c>
      <c r="E489" s="44">
        <f t="shared" si="23"/>
        <v>100.535</v>
      </c>
      <c r="F489" s="44">
        <f t="shared" si="23"/>
        <v>238.66</v>
      </c>
      <c r="G489" s="44">
        <f t="shared" si="23"/>
        <v>2317.62</v>
      </c>
      <c r="H489" s="44">
        <f t="shared" si="23"/>
        <v>1.9205000000000001</v>
      </c>
      <c r="I489" s="44">
        <f t="shared" si="23"/>
        <v>35.379999999999995</v>
      </c>
      <c r="J489" s="44">
        <f t="shared" si="23"/>
        <v>311.37785714285712</v>
      </c>
      <c r="K489" s="44">
        <f t="shared" si="23"/>
        <v>14.870000000000001</v>
      </c>
      <c r="L489" s="44">
        <f t="shared" si="23"/>
        <v>955.09500000000003</v>
      </c>
      <c r="M489" s="44">
        <f t="shared" si="23"/>
        <v>1506.7550000000001</v>
      </c>
      <c r="N489" s="44">
        <f t="shared" si="23"/>
        <v>299.86571428571426</v>
      </c>
      <c r="O489" s="44">
        <f t="shared" si="23"/>
        <v>19.296500000000005</v>
      </c>
    </row>
    <row r="490" spans="1:15" ht="15.75" x14ac:dyDescent="0.2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</row>
    <row r="491" spans="1:15" ht="18" x14ac:dyDescent="0.25">
      <c r="A491" s="1" t="s">
        <v>161</v>
      </c>
    </row>
    <row r="493" spans="1:15" ht="15.75" x14ac:dyDescent="0.25">
      <c r="A493" s="2" t="s">
        <v>19</v>
      </c>
      <c r="B493" s="4"/>
      <c r="C493" s="4"/>
      <c r="D493" s="4"/>
      <c r="E493" s="4"/>
      <c r="F493" s="4"/>
      <c r="G493" s="5"/>
      <c r="H493" s="4"/>
      <c r="I493" s="4"/>
      <c r="J493" s="4"/>
      <c r="K493" s="4"/>
      <c r="L493" s="4"/>
      <c r="M493" s="4"/>
      <c r="N493" s="4"/>
      <c r="O493" s="4"/>
    </row>
    <row r="494" spans="1:15" ht="15" x14ac:dyDescent="0.2">
      <c r="A494" s="62" t="s">
        <v>17</v>
      </c>
      <c r="B494" s="61" t="s">
        <v>0</v>
      </c>
      <c r="C494" s="61" t="s">
        <v>1</v>
      </c>
      <c r="D494" s="63" t="s">
        <v>9</v>
      </c>
      <c r="E494" s="64"/>
      <c r="F494" s="65"/>
      <c r="G494" s="61" t="s">
        <v>10</v>
      </c>
      <c r="H494" s="61" t="s">
        <v>7</v>
      </c>
      <c r="I494" s="61"/>
      <c r="J494" s="61"/>
      <c r="K494" s="61"/>
      <c r="L494" s="61" t="s">
        <v>8</v>
      </c>
      <c r="M494" s="61"/>
      <c r="N494" s="61"/>
      <c r="O494" s="61"/>
    </row>
    <row r="495" spans="1:15" ht="30" x14ac:dyDescent="0.2">
      <c r="A495" s="62"/>
      <c r="B495" s="61"/>
      <c r="C495" s="61"/>
      <c r="D495" s="41" t="s">
        <v>2</v>
      </c>
      <c r="E495" s="42" t="s">
        <v>3</v>
      </c>
      <c r="F495" s="42" t="s">
        <v>4</v>
      </c>
      <c r="G495" s="61"/>
      <c r="H495" s="42" t="s">
        <v>11</v>
      </c>
      <c r="I495" s="42" t="s">
        <v>12</v>
      </c>
      <c r="J495" s="42" t="s">
        <v>13</v>
      </c>
      <c r="K495" s="42" t="s">
        <v>5</v>
      </c>
      <c r="L495" s="43" t="s">
        <v>14</v>
      </c>
      <c r="M495" s="42" t="s">
        <v>15</v>
      </c>
      <c r="N495" s="42" t="s">
        <v>6</v>
      </c>
      <c r="O495" s="42" t="s">
        <v>16</v>
      </c>
    </row>
    <row r="496" spans="1:15" ht="15.75" x14ac:dyDescent="0.25">
      <c r="A496" s="44"/>
      <c r="B496" s="44" t="s">
        <v>372</v>
      </c>
      <c r="C496" s="44"/>
      <c r="D496" s="44">
        <f>D497+D504+D509+D515+D518+D519</f>
        <v>27.919999999999998</v>
      </c>
      <c r="E496" s="44">
        <f t="shared" ref="E496:O496" si="24">E497+E504+E509+E515+E518+E519</f>
        <v>26.060000000000002</v>
      </c>
      <c r="F496" s="44">
        <f t="shared" si="24"/>
        <v>75.180000000000007</v>
      </c>
      <c r="G496" s="44">
        <f t="shared" si="24"/>
        <v>647.67999999999995</v>
      </c>
      <c r="H496" s="44">
        <f t="shared" si="24"/>
        <v>0.21000000000000002</v>
      </c>
      <c r="I496" s="44">
        <f t="shared" si="24"/>
        <v>1.1300000000000001</v>
      </c>
      <c r="J496" s="44">
        <f t="shared" si="24"/>
        <v>175.99940766550523</v>
      </c>
      <c r="K496" s="44">
        <f t="shared" si="24"/>
        <v>2.44</v>
      </c>
      <c r="L496" s="44">
        <f t="shared" si="24"/>
        <v>164.39999999999998</v>
      </c>
      <c r="M496" s="44">
        <f t="shared" si="24"/>
        <v>316.29999999999995</v>
      </c>
      <c r="N496" s="44">
        <f t="shared" si="24"/>
        <v>57.400000000000006</v>
      </c>
      <c r="O496" s="44">
        <f t="shared" si="24"/>
        <v>5.21</v>
      </c>
    </row>
    <row r="497" spans="1:15" ht="15.75" x14ac:dyDescent="0.25">
      <c r="A497" s="45">
        <v>368</v>
      </c>
      <c r="B497" s="44" t="s">
        <v>162</v>
      </c>
      <c r="C497" s="45">
        <v>80</v>
      </c>
      <c r="D497" s="45">
        <v>14.62</v>
      </c>
      <c r="E497" s="45">
        <f>13.3/70*80</f>
        <v>15.2</v>
      </c>
      <c r="F497" s="45">
        <f>2.8/70*80</f>
        <v>3.2</v>
      </c>
      <c r="G497" s="45">
        <f>182/70*80</f>
        <v>208</v>
      </c>
      <c r="H497" s="45">
        <v>0.04</v>
      </c>
      <c r="I497" s="45">
        <v>0.91</v>
      </c>
      <c r="J497" s="45">
        <f>100.2/70*80</f>
        <v>114.51428571428572</v>
      </c>
      <c r="K497" s="45">
        <v>0.56999999999999995</v>
      </c>
      <c r="L497" s="45">
        <v>45.4</v>
      </c>
      <c r="M497" s="45">
        <v>125.7</v>
      </c>
      <c r="N497" s="45">
        <f>11.9/70*80</f>
        <v>13.600000000000001</v>
      </c>
      <c r="O497" s="45">
        <v>1.29</v>
      </c>
    </row>
    <row r="498" spans="1:15" ht="15.75" x14ac:dyDescent="0.25">
      <c r="A498" s="45"/>
      <c r="B498" s="45" t="s">
        <v>285</v>
      </c>
      <c r="C498" s="45">
        <v>52.57</v>
      </c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</row>
    <row r="499" spans="1:15" ht="15.75" x14ac:dyDescent="0.25">
      <c r="A499" s="45"/>
      <c r="B499" s="45" t="s">
        <v>46</v>
      </c>
      <c r="C499" s="45">
        <v>3.08</v>
      </c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</row>
    <row r="500" spans="1:15" ht="15.75" x14ac:dyDescent="0.25">
      <c r="A500" s="45"/>
      <c r="B500" s="45" t="s">
        <v>47</v>
      </c>
      <c r="C500" s="45">
        <v>0.34</v>
      </c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</row>
    <row r="501" spans="1:15" ht="15.75" x14ac:dyDescent="0.25">
      <c r="A501" s="45"/>
      <c r="B501" s="45" t="s">
        <v>25</v>
      </c>
      <c r="C501" s="45">
        <v>17.48</v>
      </c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</row>
    <row r="502" spans="1:15" ht="15.75" x14ac:dyDescent="0.25">
      <c r="A502" s="45"/>
      <c r="B502" s="45" t="s">
        <v>23</v>
      </c>
      <c r="C502" s="45">
        <v>5.71</v>
      </c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</row>
    <row r="503" spans="1:15" ht="15.75" x14ac:dyDescent="0.25">
      <c r="A503" s="45"/>
      <c r="B503" s="45" t="s">
        <v>96</v>
      </c>
      <c r="C503" s="45">
        <f>13.3/70*80</f>
        <v>15.2</v>
      </c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</row>
    <row r="504" spans="1:15" ht="15.75" x14ac:dyDescent="0.25">
      <c r="A504" s="45">
        <v>402</v>
      </c>
      <c r="B504" s="44" t="s">
        <v>164</v>
      </c>
      <c r="C504" s="45">
        <v>35</v>
      </c>
      <c r="D504" s="45">
        <v>1.28</v>
      </c>
      <c r="E504" s="45">
        <f>84/1000*35</f>
        <v>2.9400000000000004</v>
      </c>
      <c r="F504" s="45">
        <v>2.5</v>
      </c>
      <c r="G504" s="45">
        <v>41.26</v>
      </c>
      <c r="H504" s="45">
        <v>0.01</v>
      </c>
      <c r="I504" s="45">
        <v>0.22</v>
      </c>
      <c r="J504" s="45">
        <f>494/1000*35</f>
        <v>17.29</v>
      </c>
      <c r="K504" s="45">
        <f>2/1000*35</f>
        <v>7.0000000000000007E-2</v>
      </c>
      <c r="L504" s="45">
        <v>39.799999999999997</v>
      </c>
      <c r="M504" s="45">
        <v>29.9</v>
      </c>
      <c r="N504" s="45">
        <v>4.9000000000000004</v>
      </c>
      <c r="O504" s="45">
        <v>7.0000000000000007E-2</v>
      </c>
    </row>
    <row r="505" spans="1:15" ht="15.75" x14ac:dyDescent="0.25">
      <c r="A505" s="45"/>
      <c r="B505" s="45" t="s">
        <v>46</v>
      </c>
      <c r="C505" s="45">
        <f>80/1000*35</f>
        <v>2.8000000000000003</v>
      </c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</row>
    <row r="506" spans="1:15" ht="15.75" x14ac:dyDescent="0.25">
      <c r="A506" s="45"/>
      <c r="B506" s="45" t="s">
        <v>47</v>
      </c>
      <c r="C506" s="45">
        <f>8/1000*35</f>
        <v>0.28000000000000003</v>
      </c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</row>
    <row r="507" spans="1:15" ht="15.75" x14ac:dyDescent="0.25">
      <c r="A507" s="45"/>
      <c r="B507" s="45" t="s">
        <v>25</v>
      </c>
      <c r="C507" s="45">
        <f>1000/1000*35</f>
        <v>35</v>
      </c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</row>
    <row r="508" spans="1:15" ht="15.75" x14ac:dyDescent="0.25">
      <c r="A508" s="45"/>
      <c r="B508" s="45" t="s">
        <v>23</v>
      </c>
      <c r="C508" s="45">
        <f>80/1000*35</f>
        <v>2.8000000000000003</v>
      </c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</row>
    <row r="509" spans="1:15" ht="31.5" x14ac:dyDescent="0.25">
      <c r="A509" s="45">
        <v>261</v>
      </c>
      <c r="B509" s="44" t="s">
        <v>165</v>
      </c>
      <c r="C509" s="45">
        <v>150</v>
      </c>
      <c r="D509" s="45">
        <v>6.14</v>
      </c>
      <c r="E509" s="45">
        <v>7.02</v>
      </c>
      <c r="F509" s="45">
        <v>27.14</v>
      </c>
      <c r="G509" s="45">
        <v>196.82</v>
      </c>
      <c r="H509" s="45">
        <v>0.05</v>
      </c>
      <c r="I509" s="45">
        <v>0</v>
      </c>
      <c r="J509" s="45">
        <f>60.4/205*150</f>
        <v>44.195121951219512</v>
      </c>
      <c r="K509" s="45">
        <v>0.8</v>
      </c>
      <c r="L509" s="45">
        <v>52.1</v>
      </c>
      <c r="M509" s="45">
        <v>63.8</v>
      </c>
      <c r="N509" s="45">
        <v>10.3</v>
      </c>
      <c r="O509" s="45">
        <v>1.03</v>
      </c>
    </row>
    <row r="510" spans="1:15" ht="15.75" x14ac:dyDescent="0.25">
      <c r="A510" s="45"/>
      <c r="B510" s="45" t="s">
        <v>68</v>
      </c>
      <c r="C510" s="45">
        <v>4.17</v>
      </c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</row>
    <row r="511" spans="1:15" ht="15.75" x14ac:dyDescent="0.25">
      <c r="A511" s="45"/>
      <c r="B511" s="45" t="s">
        <v>23</v>
      </c>
      <c r="C511" s="45">
        <v>7.31</v>
      </c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</row>
    <row r="512" spans="1:15" ht="15.75" x14ac:dyDescent="0.25">
      <c r="A512" s="45"/>
      <c r="B512" s="45" t="s">
        <v>47</v>
      </c>
      <c r="C512" s="45">
        <v>2.92</v>
      </c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</row>
    <row r="513" spans="1:15" ht="15.75" x14ac:dyDescent="0.25">
      <c r="A513" s="45"/>
      <c r="B513" s="45" t="s">
        <v>123</v>
      </c>
      <c r="C513" s="45">
        <v>46.82</v>
      </c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</row>
    <row r="514" spans="1:15" ht="15.75" x14ac:dyDescent="0.25">
      <c r="A514" s="45"/>
      <c r="B514" s="45" t="s">
        <v>41</v>
      </c>
      <c r="C514" s="45">
        <v>1.46</v>
      </c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</row>
    <row r="515" spans="1:15" ht="15.75" x14ac:dyDescent="0.25">
      <c r="A515" s="45">
        <v>457</v>
      </c>
      <c r="B515" s="44" t="s">
        <v>70</v>
      </c>
      <c r="C515" s="45">
        <v>200</v>
      </c>
      <c r="D515" s="45">
        <v>0.2</v>
      </c>
      <c r="E515" s="45">
        <v>0.1</v>
      </c>
      <c r="F515" s="45">
        <v>9.3000000000000007</v>
      </c>
      <c r="G515" s="45">
        <v>38</v>
      </c>
      <c r="H515" s="45">
        <v>0</v>
      </c>
      <c r="I515" s="45">
        <v>0</v>
      </c>
      <c r="J515" s="45">
        <v>0</v>
      </c>
      <c r="K515" s="45">
        <v>0</v>
      </c>
      <c r="L515" s="45">
        <v>5.0999999999999996</v>
      </c>
      <c r="M515" s="45">
        <v>7.7</v>
      </c>
      <c r="N515" s="45">
        <v>4.2</v>
      </c>
      <c r="O515" s="45">
        <v>0.82</v>
      </c>
    </row>
    <row r="516" spans="1:15" ht="15.75" x14ac:dyDescent="0.25">
      <c r="A516" s="45"/>
      <c r="B516" s="45" t="s">
        <v>22</v>
      </c>
      <c r="C516" s="45">
        <v>10</v>
      </c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</row>
    <row r="517" spans="1:15" ht="15.75" x14ac:dyDescent="0.25">
      <c r="A517" s="45"/>
      <c r="B517" s="45" t="s">
        <v>71</v>
      </c>
      <c r="C517" s="45">
        <v>1</v>
      </c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</row>
    <row r="518" spans="1:15" ht="15.75" x14ac:dyDescent="0.25">
      <c r="A518" s="45"/>
      <c r="B518" s="44" t="s">
        <v>107</v>
      </c>
      <c r="C518" s="45">
        <v>40</v>
      </c>
      <c r="D518" s="45">
        <v>3.04</v>
      </c>
      <c r="E518" s="45">
        <v>0.32</v>
      </c>
      <c r="F518" s="45">
        <v>19.68</v>
      </c>
      <c r="G518" s="45">
        <v>94</v>
      </c>
      <c r="H518" s="45">
        <v>0.04</v>
      </c>
      <c r="I518" s="45">
        <v>0</v>
      </c>
      <c r="J518" s="45">
        <v>0</v>
      </c>
      <c r="K518" s="45">
        <v>0.44</v>
      </c>
      <c r="L518" s="45">
        <v>8</v>
      </c>
      <c r="M518" s="45">
        <v>26</v>
      </c>
      <c r="N518" s="45">
        <v>5.6</v>
      </c>
      <c r="O518" s="45">
        <v>0.44</v>
      </c>
    </row>
    <row r="519" spans="1:15" ht="15.75" x14ac:dyDescent="0.25">
      <c r="A519" s="45"/>
      <c r="B519" s="44" t="s">
        <v>73</v>
      </c>
      <c r="C519" s="45">
        <v>30</v>
      </c>
      <c r="D519" s="45">
        <v>2.64</v>
      </c>
      <c r="E519" s="45">
        <v>0.48</v>
      </c>
      <c r="F519" s="45">
        <v>13.36</v>
      </c>
      <c r="G519" s="45">
        <v>69.599999999999994</v>
      </c>
      <c r="H519" s="45">
        <v>7.0000000000000007E-2</v>
      </c>
      <c r="I519" s="45">
        <v>0</v>
      </c>
      <c r="J519" s="45">
        <v>0</v>
      </c>
      <c r="K519" s="45">
        <v>0.56000000000000005</v>
      </c>
      <c r="L519" s="45">
        <v>14</v>
      </c>
      <c r="M519" s="45">
        <v>63.2</v>
      </c>
      <c r="N519" s="45">
        <v>18.8</v>
      </c>
      <c r="O519" s="45">
        <v>1.56</v>
      </c>
    </row>
    <row r="520" spans="1:15" ht="15.75" x14ac:dyDescent="0.25">
      <c r="A520" s="45"/>
      <c r="B520" s="44" t="s">
        <v>166</v>
      </c>
      <c r="C520" s="45">
        <v>100</v>
      </c>
      <c r="D520" s="45">
        <v>0.8</v>
      </c>
      <c r="E520" s="45">
        <v>0.2</v>
      </c>
      <c r="F520" s="45">
        <v>7.5</v>
      </c>
      <c r="G520" s="45">
        <v>38</v>
      </c>
      <c r="H520" s="45">
        <v>0.06</v>
      </c>
      <c r="I520" s="45">
        <v>38</v>
      </c>
      <c r="J520" s="45">
        <v>0</v>
      </c>
      <c r="K520" s="45">
        <v>0.2</v>
      </c>
      <c r="L520" s="45">
        <v>35</v>
      </c>
      <c r="M520" s="45">
        <v>17</v>
      </c>
      <c r="N520" s="45">
        <v>11</v>
      </c>
      <c r="O520" s="45">
        <v>0.1</v>
      </c>
    </row>
    <row r="521" spans="1:15" s="7" customFormat="1" ht="15.75" x14ac:dyDescent="0.25">
      <c r="A521" s="44"/>
      <c r="B521" s="44" t="s">
        <v>373</v>
      </c>
      <c r="C521" s="44"/>
      <c r="D521" s="44">
        <f t="shared" ref="D521:O521" si="25">D522+D526+D534+D540+D545+D549+D550</f>
        <v>22.04</v>
      </c>
      <c r="E521" s="44">
        <f t="shared" si="25"/>
        <v>15.870000000000001</v>
      </c>
      <c r="F521" s="44">
        <f t="shared" si="25"/>
        <v>86.97</v>
      </c>
      <c r="G521" s="44">
        <f t="shared" si="25"/>
        <v>579.6</v>
      </c>
      <c r="H521" s="44">
        <f t="shared" si="25"/>
        <v>0.37</v>
      </c>
      <c r="I521" s="44">
        <f t="shared" si="25"/>
        <v>18.229999999999997</v>
      </c>
      <c r="J521" s="44">
        <f t="shared" si="25"/>
        <v>46.589999999999996</v>
      </c>
      <c r="K521" s="44">
        <f t="shared" si="25"/>
        <v>7.68</v>
      </c>
      <c r="L521" s="44">
        <f t="shared" si="25"/>
        <v>183.1</v>
      </c>
      <c r="M521" s="44">
        <f t="shared" si="25"/>
        <v>400.09</v>
      </c>
      <c r="N521" s="44">
        <f t="shared" si="25"/>
        <v>127.07999999999998</v>
      </c>
      <c r="O521" s="44">
        <f t="shared" si="25"/>
        <v>5.0440000000000005</v>
      </c>
    </row>
    <row r="522" spans="1:15" ht="15.75" x14ac:dyDescent="0.25">
      <c r="A522" s="45">
        <v>21</v>
      </c>
      <c r="B522" s="44" t="s">
        <v>288</v>
      </c>
      <c r="C522" s="45">
        <v>60</v>
      </c>
      <c r="D522" s="45">
        <f>1.2/100*60</f>
        <v>0.72</v>
      </c>
      <c r="E522" s="45">
        <f>6.1/100*60</f>
        <v>3.66</v>
      </c>
      <c r="F522" s="45">
        <f>11.2/100*60</f>
        <v>6.7199999999999989</v>
      </c>
      <c r="G522" s="45">
        <f>104/100*60</f>
        <v>62.400000000000006</v>
      </c>
      <c r="H522" s="45">
        <f>0.05/100*60</f>
        <v>0.03</v>
      </c>
      <c r="I522" s="45">
        <f>3.1/100*60</f>
        <v>1.8599999999999999</v>
      </c>
      <c r="J522" s="45">
        <v>0</v>
      </c>
      <c r="K522" s="45">
        <f>3.9/100*60</f>
        <v>2.34</v>
      </c>
      <c r="L522" s="45">
        <f>24.4/100*60</f>
        <v>14.64</v>
      </c>
      <c r="M522" s="45">
        <f>49.5/100*60</f>
        <v>29.7</v>
      </c>
      <c r="N522" s="45">
        <f>34/100*60</f>
        <v>20.400000000000002</v>
      </c>
      <c r="O522" s="45">
        <f>0.64/100*60</f>
        <v>0.38400000000000001</v>
      </c>
    </row>
    <row r="523" spans="1:15" ht="15.75" x14ac:dyDescent="0.25">
      <c r="A523" s="45"/>
      <c r="B523" s="45" t="s">
        <v>37</v>
      </c>
      <c r="C523" s="45">
        <f>89.7/100*60</f>
        <v>53.82</v>
      </c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</row>
    <row r="524" spans="1:15" ht="15.75" x14ac:dyDescent="0.25">
      <c r="A524" s="45"/>
      <c r="B524" s="45" t="s">
        <v>22</v>
      </c>
      <c r="C524" s="45">
        <f>5/100*60</f>
        <v>3</v>
      </c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</row>
    <row r="525" spans="1:15" ht="15.75" x14ac:dyDescent="0.25">
      <c r="A525" s="45"/>
      <c r="B525" s="45" t="s">
        <v>41</v>
      </c>
      <c r="C525" s="45">
        <f>6/100*60</f>
        <v>3.5999999999999996</v>
      </c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</row>
    <row r="526" spans="1:15" ht="15.75" x14ac:dyDescent="0.25">
      <c r="A526" s="45">
        <v>104</v>
      </c>
      <c r="B526" s="44" t="s">
        <v>76</v>
      </c>
      <c r="C526" s="45">
        <v>250</v>
      </c>
      <c r="D526" s="45">
        <v>1.57</v>
      </c>
      <c r="E526" s="45">
        <f>18/1000*250</f>
        <v>4.5</v>
      </c>
      <c r="F526" s="45">
        <v>5.7</v>
      </c>
      <c r="G526" s="45">
        <f>280/1000*250</f>
        <v>70</v>
      </c>
      <c r="H526" s="45">
        <v>0.05</v>
      </c>
      <c r="I526" s="45">
        <f>47.6/1000*250</f>
        <v>11.9</v>
      </c>
      <c r="J526" s="45">
        <v>0</v>
      </c>
      <c r="K526" s="45">
        <f>9.4/1000*250</f>
        <v>2.35</v>
      </c>
      <c r="L526" s="45">
        <f>148.2/1000*250</f>
        <v>37.049999999999997</v>
      </c>
      <c r="M526" s="45">
        <f>182.6/1000*250</f>
        <v>45.65</v>
      </c>
      <c r="N526" s="45">
        <f>81.2/1000*250</f>
        <v>20.3</v>
      </c>
      <c r="O526" s="45">
        <f>3.12/1000*250</f>
        <v>0.78</v>
      </c>
    </row>
    <row r="527" spans="1:15" ht="15.75" x14ac:dyDescent="0.25">
      <c r="A527" s="45"/>
      <c r="B527" s="45" t="s">
        <v>34</v>
      </c>
      <c r="C527" s="45">
        <v>2.5</v>
      </c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</row>
    <row r="528" spans="1:15" ht="15.75" x14ac:dyDescent="0.25">
      <c r="A528" s="45"/>
      <c r="B528" s="45" t="s">
        <v>36</v>
      </c>
      <c r="C528" s="45">
        <f>40.3/1000*250</f>
        <v>10.074999999999999</v>
      </c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</row>
    <row r="529" spans="1:15" ht="15.75" x14ac:dyDescent="0.25">
      <c r="A529" s="45"/>
      <c r="B529" s="45" t="s">
        <v>47</v>
      </c>
      <c r="C529" s="45">
        <v>2</v>
      </c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</row>
    <row r="530" spans="1:15" ht="15.75" x14ac:dyDescent="0.25">
      <c r="A530" s="45"/>
      <c r="B530" s="45" t="s">
        <v>37</v>
      </c>
      <c r="C530" s="45">
        <v>9.75</v>
      </c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</row>
    <row r="531" spans="1:15" ht="15.75" x14ac:dyDescent="0.25">
      <c r="A531" s="45"/>
      <c r="B531" s="45" t="s">
        <v>38</v>
      </c>
      <c r="C531" s="45">
        <f>140/1000*250</f>
        <v>35</v>
      </c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</row>
    <row r="532" spans="1:15" ht="15.75" x14ac:dyDescent="0.25">
      <c r="A532" s="45"/>
      <c r="B532" s="45" t="s">
        <v>77</v>
      </c>
      <c r="C532" s="45">
        <f>120/1000*250</f>
        <v>30</v>
      </c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</row>
    <row r="533" spans="1:15" ht="15.75" x14ac:dyDescent="0.25">
      <c r="A533" s="45"/>
      <c r="B533" s="45" t="s">
        <v>41</v>
      </c>
      <c r="C533" s="45">
        <v>5</v>
      </c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</row>
    <row r="534" spans="1:15" ht="15.75" x14ac:dyDescent="0.25">
      <c r="A534" s="45">
        <v>302</v>
      </c>
      <c r="B534" s="44" t="s">
        <v>336</v>
      </c>
      <c r="C534" s="45">
        <v>80</v>
      </c>
      <c r="D534" s="45">
        <f>9.3/75*80</f>
        <v>9.9200000000000017</v>
      </c>
      <c r="E534" s="45">
        <v>0.85</v>
      </c>
      <c r="F534" s="45">
        <f>2.4/75*80</f>
        <v>2.56</v>
      </c>
      <c r="G534" s="45">
        <f>54/75*80</f>
        <v>57.599999999999994</v>
      </c>
      <c r="H534" s="45">
        <v>0.04</v>
      </c>
      <c r="I534" s="45">
        <f>0.3/75*80</f>
        <v>0.32</v>
      </c>
      <c r="J534" s="45">
        <v>16.739999999999998</v>
      </c>
      <c r="K534" s="45">
        <f>0.6/75*80</f>
        <v>0.64</v>
      </c>
      <c r="L534" s="45">
        <f>33.9/75*80</f>
        <v>36.159999999999997</v>
      </c>
      <c r="M534" s="45">
        <v>124.69</v>
      </c>
      <c r="N534" s="45">
        <v>17.38</v>
      </c>
      <c r="O534" s="45">
        <v>0.35</v>
      </c>
    </row>
    <row r="535" spans="1:15" ht="15.75" x14ac:dyDescent="0.25">
      <c r="A535" s="45"/>
      <c r="B535" s="45" t="s">
        <v>283</v>
      </c>
      <c r="C535" s="45">
        <v>59.73</v>
      </c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</row>
    <row r="536" spans="1:15" ht="15.75" x14ac:dyDescent="0.25">
      <c r="A536" s="45"/>
      <c r="B536" s="45" t="s">
        <v>96</v>
      </c>
      <c r="C536" s="45">
        <v>2.4500000000000002</v>
      </c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</row>
    <row r="537" spans="1:15" ht="15.75" x14ac:dyDescent="0.25">
      <c r="A537" s="45"/>
      <c r="B537" s="45" t="s">
        <v>47</v>
      </c>
      <c r="C537" s="45">
        <f>0.75/75*80</f>
        <v>0.8</v>
      </c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</row>
    <row r="538" spans="1:15" ht="15.75" x14ac:dyDescent="0.25">
      <c r="A538" s="45"/>
      <c r="B538" s="45" t="s">
        <v>25</v>
      </c>
      <c r="C538" s="45">
        <f>21/75*80</f>
        <v>22.400000000000002</v>
      </c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</row>
    <row r="539" spans="1:15" ht="15.75" x14ac:dyDescent="0.25">
      <c r="A539" s="45"/>
      <c r="B539" s="45" t="s">
        <v>107</v>
      </c>
      <c r="C539" s="45">
        <f>6.3/75*80</f>
        <v>6.7199999999999989</v>
      </c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</row>
    <row r="540" spans="1:15" ht="15.75" x14ac:dyDescent="0.25">
      <c r="A540" s="45">
        <v>377</v>
      </c>
      <c r="B540" s="44" t="s">
        <v>167</v>
      </c>
      <c r="C540" s="45">
        <v>150</v>
      </c>
      <c r="D540" s="45">
        <f>2.1/100*150</f>
        <v>3.1500000000000004</v>
      </c>
      <c r="E540" s="45">
        <f>4/100*150</f>
        <v>6</v>
      </c>
      <c r="F540" s="45">
        <f>6.1/100*150</f>
        <v>9.15</v>
      </c>
      <c r="G540" s="45">
        <f>68/100*150</f>
        <v>102.00000000000001</v>
      </c>
      <c r="H540" s="45">
        <f>0.08/100*150</f>
        <v>0.12000000000000001</v>
      </c>
      <c r="I540" s="45">
        <f>2.5/100*150</f>
        <v>3.75</v>
      </c>
      <c r="J540" s="45">
        <f>19.9/100*150</f>
        <v>29.849999999999998</v>
      </c>
      <c r="K540" s="45">
        <f>0.1/100*150</f>
        <v>0.15</v>
      </c>
      <c r="L540" s="45">
        <f>25.5/100*150</f>
        <v>38.25</v>
      </c>
      <c r="M540" s="45">
        <f>51.5/100*150</f>
        <v>77.25</v>
      </c>
      <c r="N540" s="45">
        <f>16.4/100*150</f>
        <v>24.599999999999998</v>
      </c>
      <c r="O540" s="45">
        <f>0.58/100*150</f>
        <v>0.86999999999999988</v>
      </c>
    </row>
    <row r="541" spans="1:15" ht="15.75" x14ac:dyDescent="0.25">
      <c r="A541" s="45"/>
      <c r="B541" s="45" t="s">
        <v>23</v>
      </c>
      <c r="C541" s="45">
        <f>4.5/100*150</f>
        <v>6.75</v>
      </c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</row>
    <row r="542" spans="1:15" ht="15.75" x14ac:dyDescent="0.25">
      <c r="A542" s="45"/>
      <c r="B542" s="45" t="s">
        <v>47</v>
      </c>
      <c r="C542" s="45">
        <f>0.4/100*150</f>
        <v>0.6</v>
      </c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</row>
    <row r="543" spans="1:15" ht="15.75" x14ac:dyDescent="0.25">
      <c r="A543" s="45"/>
      <c r="B543" s="45" t="s">
        <v>77</v>
      </c>
      <c r="C543" s="45">
        <f>84.3/100*150</f>
        <v>126.44999999999999</v>
      </c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</row>
    <row r="544" spans="1:15" ht="15.75" x14ac:dyDescent="0.25">
      <c r="A544" s="45"/>
      <c r="B544" s="45" t="s">
        <v>25</v>
      </c>
      <c r="C544" s="45">
        <f>15/100*150</f>
        <v>22.5</v>
      </c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</row>
    <row r="545" spans="1:15" ht="15.75" x14ac:dyDescent="0.25">
      <c r="A545" s="45">
        <v>486</v>
      </c>
      <c r="B545" s="44" t="s">
        <v>360</v>
      </c>
      <c r="C545" s="45">
        <v>200</v>
      </c>
      <c r="D545" s="45">
        <f>0.5*2</f>
        <v>1</v>
      </c>
      <c r="E545" s="45">
        <f>0.03*2</f>
        <v>0.06</v>
      </c>
      <c r="F545" s="45">
        <f>14.9*2</f>
        <v>29.8</v>
      </c>
      <c r="G545" s="45">
        <f>62*2</f>
        <v>124</v>
      </c>
      <c r="H545" s="45">
        <f>0.01*2</f>
        <v>0.02</v>
      </c>
      <c r="I545" s="45">
        <f>0.2*2</f>
        <v>0.4</v>
      </c>
      <c r="J545" s="45">
        <v>0</v>
      </c>
      <c r="K545" s="45">
        <f>0.6*2</f>
        <v>1.2</v>
      </c>
      <c r="L545" s="45">
        <f>17.5*2</f>
        <v>35</v>
      </c>
      <c r="M545" s="45">
        <f>16.8*2</f>
        <v>33.6</v>
      </c>
      <c r="N545" s="45">
        <v>20</v>
      </c>
      <c r="O545" s="45">
        <f>0.33*2</f>
        <v>0.66</v>
      </c>
    </row>
    <row r="546" spans="1:15" ht="15.75" x14ac:dyDescent="0.25">
      <c r="A546" s="45"/>
      <c r="B546" s="45" t="s">
        <v>361</v>
      </c>
      <c r="C546" s="45">
        <v>20</v>
      </c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</row>
    <row r="547" spans="1:15" ht="15.75" x14ac:dyDescent="0.25">
      <c r="A547" s="45"/>
      <c r="B547" s="45" t="s">
        <v>22</v>
      </c>
      <c r="C547" s="45">
        <v>10</v>
      </c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</row>
    <row r="548" spans="1:15" ht="15.75" x14ac:dyDescent="0.25">
      <c r="A548" s="45"/>
      <c r="B548" s="45" t="s">
        <v>42</v>
      </c>
      <c r="C548" s="45">
        <v>10</v>
      </c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</row>
    <row r="549" spans="1:15" ht="15.75" x14ac:dyDescent="0.25">
      <c r="A549" s="45"/>
      <c r="B549" s="44" t="s">
        <v>107</v>
      </c>
      <c r="C549" s="45">
        <v>40</v>
      </c>
      <c r="D549" s="45">
        <v>3.04</v>
      </c>
      <c r="E549" s="45">
        <v>0.32</v>
      </c>
      <c r="F549" s="45">
        <v>19.68</v>
      </c>
      <c r="G549" s="45">
        <v>94</v>
      </c>
      <c r="H549" s="45">
        <v>0.04</v>
      </c>
      <c r="I549" s="45">
        <v>0</v>
      </c>
      <c r="J549" s="45">
        <v>0</v>
      </c>
      <c r="K549" s="45">
        <v>0.44</v>
      </c>
      <c r="L549" s="45">
        <v>8</v>
      </c>
      <c r="M549" s="45">
        <v>26</v>
      </c>
      <c r="N549" s="45">
        <v>5.6</v>
      </c>
      <c r="O549" s="45">
        <v>0.44</v>
      </c>
    </row>
    <row r="550" spans="1:15" ht="15.75" x14ac:dyDescent="0.25">
      <c r="A550" s="45"/>
      <c r="B550" s="44" t="s">
        <v>73</v>
      </c>
      <c r="C550" s="45">
        <v>30</v>
      </c>
      <c r="D550" s="45">
        <v>2.64</v>
      </c>
      <c r="E550" s="45">
        <v>0.48</v>
      </c>
      <c r="F550" s="45">
        <v>13.36</v>
      </c>
      <c r="G550" s="45">
        <v>69.599999999999994</v>
      </c>
      <c r="H550" s="45">
        <v>7.0000000000000007E-2</v>
      </c>
      <c r="I550" s="45">
        <v>0</v>
      </c>
      <c r="J550" s="45">
        <v>0</v>
      </c>
      <c r="K550" s="45">
        <v>0.56000000000000005</v>
      </c>
      <c r="L550" s="45">
        <v>14</v>
      </c>
      <c r="M550" s="45">
        <v>63.2</v>
      </c>
      <c r="N550" s="45">
        <v>18.8</v>
      </c>
      <c r="O550" s="45">
        <v>1.56</v>
      </c>
    </row>
    <row r="551" spans="1:15" s="7" customFormat="1" ht="15.75" x14ac:dyDescent="0.25">
      <c r="A551" s="44"/>
      <c r="B551" s="44" t="s">
        <v>376</v>
      </c>
      <c r="C551" s="44"/>
      <c r="D551" s="44">
        <f t="shared" ref="D551:O551" si="26">D552+D554+D564+D568+D572+D581+D585+D586</f>
        <v>34.675000000000004</v>
      </c>
      <c r="E551" s="44">
        <f t="shared" si="26"/>
        <v>25.529999999999998</v>
      </c>
      <c r="F551" s="44">
        <f t="shared" si="26"/>
        <v>70.650000000000006</v>
      </c>
      <c r="G551" s="44">
        <f t="shared" si="26"/>
        <v>716</v>
      </c>
      <c r="H551" s="44">
        <f t="shared" si="26"/>
        <v>0.43704999999999999</v>
      </c>
      <c r="I551" s="44">
        <f t="shared" si="26"/>
        <v>34.655000000000001</v>
      </c>
      <c r="J551" s="44">
        <f t="shared" si="26"/>
        <v>27.990000000000002</v>
      </c>
      <c r="K551" s="44">
        <f t="shared" si="26"/>
        <v>5.0999999999999996</v>
      </c>
      <c r="L551" s="44">
        <f t="shared" si="26"/>
        <v>109.69</v>
      </c>
      <c r="M551" s="44">
        <f t="shared" si="26"/>
        <v>504.20500000000004</v>
      </c>
      <c r="N551" s="44">
        <f t="shared" si="26"/>
        <v>190.29499999999999</v>
      </c>
      <c r="O551" s="44">
        <f t="shared" si="26"/>
        <v>10.920000000000002</v>
      </c>
    </row>
    <row r="552" spans="1:15" ht="31.5" x14ac:dyDescent="0.25">
      <c r="A552" s="45">
        <v>148</v>
      </c>
      <c r="B552" s="44" t="s">
        <v>169</v>
      </c>
      <c r="C552" s="45">
        <v>60</v>
      </c>
      <c r="D552" s="45">
        <v>1.1000000000000001</v>
      </c>
      <c r="E552" s="45">
        <v>0.2</v>
      </c>
      <c r="F552" s="45">
        <v>3.8</v>
      </c>
      <c r="G552" s="45">
        <v>24</v>
      </c>
      <c r="H552" s="45">
        <v>0.06</v>
      </c>
      <c r="I552" s="45">
        <v>25</v>
      </c>
      <c r="J552" s="45">
        <v>0</v>
      </c>
      <c r="K552" s="45">
        <v>0.7</v>
      </c>
      <c r="L552" s="45">
        <v>14</v>
      </c>
      <c r="M552" s="45">
        <v>26</v>
      </c>
      <c r="N552" s="45">
        <v>20</v>
      </c>
      <c r="O552" s="45">
        <v>0.9</v>
      </c>
    </row>
    <row r="553" spans="1:15" ht="15.75" x14ac:dyDescent="0.25">
      <c r="A553" s="45"/>
      <c r="B553" s="45" t="s">
        <v>170</v>
      </c>
      <c r="C553" s="45">
        <v>60</v>
      </c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</row>
    <row r="554" spans="1:15" ht="15.75" x14ac:dyDescent="0.25">
      <c r="A554" s="45">
        <v>98</v>
      </c>
      <c r="B554" s="44" t="s">
        <v>171</v>
      </c>
      <c r="C554" s="45">
        <v>250</v>
      </c>
      <c r="D554" s="45">
        <f>8.2/1000*250</f>
        <v>2.0499999999999998</v>
      </c>
      <c r="E554" s="45">
        <f>19/1000*250</f>
        <v>4.75</v>
      </c>
      <c r="F554" s="45">
        <f>42.9/1000*250</f>
        <v>10.725</v>
      </c>
      <c r="G554" s="45">
        <f>375/1000*250</f>
        <v>93.75</v>
      </c>
      <c r="H554" s="45">
        <f>0.25/1000*250</f>
        <v>6.25E-2</v>
      </c>
      <c r="I554" s="45">
        <f>32.5/1000*250</f>
        <v>8.125</v>
      </c>
      <c r="J554" s="45">
        <v>0</v>
      </c>
      <c r="K554" s="45">
        <f>9.6/1000*250</f>
        <v>2.4</v>
      </c>
      <c r="L554" s="45">
        <f>163.6/1000*250</f>
        <v>40.9</v>
      </c>
      <c r="M554" s="45">
        <f>264.4/1000*250</f>
        <v>66.099999999999994</v>
      </c>
      <c r="N554" s="45">
        <f>120.1/1000*250</f>
        <v>30.024999999999999</v>
      </c>
      <c r="O554" s="45">
        <v>1.53</v>
      </c>
    </row>
    <row r="555" spans="1:15" ht="15.75" x14ac:dyDescent="0.25">
      <c r="A555" s="45"/>
      <c r="B555" s="45" t="s">
        <v>33</v>
      </c>
      <c r="C555" s="45">
        <f>256/1000*250</f>
        <v>64</v>
      </c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</row>
    <row r="556" spans="1:15" ht="15.75" x14ac:dyDescent="0.25">
      <c r="A556" s="45"/>
      <c r="B556" s="45" t="s">
        <v>34</v>
      </c>
      <c r="C556" s="45">
        <f>13/1000*250</f>
        <v>3.25</v>
      </c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</row>
    <row r="557" spans="1:15" ht="15.75" x14ac:dyDescent="0.25">
      <c r="A557" s="45"/>
      <c r="B557" s="45" t="s">
        <v>22</v>
      </c>
      <c r="C557" s="45">
        <f>10/1000*250</f>
        <v>2.5</v>
      </c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</row>
    <row r="558" spans="1:15" ht="15.75" x14ac:dyDescent="0.25">
      <c r="A558" s="45"/>
      <c r="B558" s="45" t="s">
        <v>41</v>
      </c>
      <c r="C558" s="45">
        <v>5</v>
      </c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</row>
    <row r="559" spans="1:15" ht="15.75" x14ac:dyDescent="0.25">
      <c r="A559" s="45"/>
      <c r="B559" s="45" t="s">
        <v>35</v>
      </c>
      <c r="C559" s="45">
        <v>15</v>
      </c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</row>
    <row r="560" spans="1:15" ht="15.75" x14ac:dyDescent="0.25">
      <c r="A560" s="45"/>
      <c r="B560" s="45" t="s">
        <v>36</v>
      </c>
      <c r="C560" s="45">
        <v>11.32</v>
      </c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</row>
    <row r="561" spans="1:15" ht="15.75" x14ac:dyDescent="0.25">
      <c r="A561" s="45"/>
      <c r="B561" s="45" t="s">
        <v>47</v>
      </c>
      <c r="C561" s="45">
        <v>2</v>
      </c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</row>
    <row r="562" spans="1:15" ht="15.75" x14ac:dyDescent="0.25">
      <c r="A562" s="45"/>
      <c r="B562" s="45" t="s">
        <v>37</v>
      </c>
      <c r="C562" s="45">
        <f>39/1000*250</f>
        <v>9.75</v>
      </c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</row>
    <row r="563" spans="1:15" ht="15.75" x14ac:dyDescent="0.25">
      <c r="A563" s="45"/>
      <c r="B563" s="45" t="s">
        <v>77</v>
      </c>
      <c r="C563" s="45">
        <v>43.12</v>
      </c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</row>
    <row r="564" spans="1:15" ht="15.75" x14ac:dyDescent="0.25">
      <c r="A564" s="45">
        <v>331</v>
      </c>
      <c r="B564" s="44" t="s">
        <v>172</v>
      </c>
      <c r="C564" s="45">
        <v>80</v>
      </c>
      <c r="D564" s="45">
        <v>19.420000000000002</v>
      </c>
      <c r="E564" s="45">
        <v>13.02</v>
      </c>
      <c r="F564" s="45">
        <v>0</v>
      </c>
      <c r="G564" s="45">
        <v>195.4</v>
      </c>
      <c r="H564" s="45">
        <v>0.05</v>
      </c>
      <c r="I564" s="45">
        <v>0</v>
      </c>
      <c r="J564" s="45">
        <v>0</v>
      </c>
      <c r="K564" s="45">
        <v>0.45</v>
      </c>
      <c r="L564" s="45">
        <v>10.199999999999999</v>
      </c>
      <c r="M564" s="45">
        <v>175.08</v>
      </c>
      <c r="N564" s="45">
        <v>20.3</v>
      </c>
      <c r="O564" s="45">
        <v>2.74</v>
      </c>
    </row>
    <row r="565" spans="1:15" ht="15.75" x14ac:dyDescent="0.25">
      <c r="A565" s="45"/>
      <c r="B565" s="45" t="s">
        <v>41</v>
      </c>
      <c r="C565" s="45">
        <v>2.2799999999999998</v>
      </c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</row>
    <row r="566" spans="1:15" ht="15.75" x14ac:dyDescent="0.25">
      <c r="A566" s="45"/>
      <c r="B566" s="45" t="s">
        <v>133</v>
      </c>
      <c r="C566" s="45">
        <v>115.4</v>
      </c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</row>
    <row r="567" spans="1:15" ht="15.75" x14ac:dyDescent="0.25">
      <c r="A567" s="45"/>
      <c r="B567" s="45" t="s">
        <v>47</v>
      </c>
      <c r="C567" s="45">
        <v>0.45</v>
      </c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</row>
    <row r="568" spans="1:15" ht="15.75" x14ac:dyDescent="0.25">
      <c r="A568" s="45">
        <v>202</v>
      </c>
      <c r="B568" s="44" t="s">
        <v>48</v>
      </c>
      <c r="C568" s="45">
        <v>150</v>
      </c>
      <c r="D568" s="45">
        <f>37.5/1000*150</f>
        <v>5.625</v>
      </c>
      <c r="E568" s="45">
        <f>38.4/1000*150</f>
        <v>5.76</v>
      </c>
      <c r="F568" s="45">
        <f>65.5/1000*150</f>
        <v>9.8250000000000011</v>
      </c>
      <c r="G568" s="45">
        <f>1157/1000*150</f>
        <v>173.55</v>
      </c>
      <c r="H568" s="45">
        <f>0.91/1000*150</f>
        <v>0.13650000000000001</v>
      </c>
      <c r="I568" s="45">
        <v>0</v>
      </c>
      <c r="J568" s="45">
        <f>160/1000*150</f>
        <v>24</v>
      </c>
      <c r="K568" s="45">
        <f>2.8/1000*150</f>
        <v>0.42</v>
      </c>
      <c r="L568" s="45">
        <f>94.1/1000*150</f>
        <v>14.114999999999998</v>
      </c>
      <c r="M568" s="45">
        <f>895.3/1000*150</f>
        <v>134.29499999999999</v>
      </c>
      <c r="N568" s="45">
        <f>591.4/1000*150</f>
        <v>88.71</v>
      </c>
      <c r="O568" s="45">
        <f>20.4/1000*150</f>
        <v>3.0599999999999996</v>
      </c>
    </row>
    <row r="569" spans="1:15" ht="15.75" x14ac:dyDescent="0.25">
      <c r="A569" s="45"/>
      <c r="B569" s="45" t="s">
        <v>23</v>
      </c>
      <c r="C569" s="45">
        <f>40/1000*150</f>
        <v>6</v>
      </c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</row>
    <row r="570" spans="1:15" ht="15.75" x14ac:dyDescent="0.25">
      <c r="A570" s="45"/>
      <c r="B570" s="45" t="s">
        <v>47</v>
      </c>
      <c r="C570" s="45">
        <f>7/1000*150</f>
        <v>1.05</v>
      </c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</row>
    <row r="571" spans="1:15" ht="15.75" x14ac:dyDescent="0.25">
      <c r="A571" s="45"/>
      <c r="B571" s="45" t="s">
        <v>49</v>
      </c>
      <c r="C571" s="45">
        <f>300/1000*150</f>
        <v>45</v>
      </c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</row>
    <row r="572" spans="1:15" ht="15.75" x14ac:dyDescent="0.25">
      <c r="A572" s="45">
        <v>422</v>
      </c>
      <c r="B572" s="44" t="s">
        <v>173</v>
      </c>
      <c r="C572" s="45">
        <v>35</v>
      </c>
      <c r="D572" s="45">
        <f>20/1000*35</f>
        <v>0.70000000000000007</v>
      </c>
      <c r="E572" s="45">
        <v>0.9</v>
      </c>
      <c r="F572" s="45">
        <v>2.16</v>
      </c>
      <c r="G572" s="45">
        <v>19.7</v>
      </c>
      <c r="H572" s="45">
        <f>0.23/1000*35</f>
        <v>8.0499999999999999E-3</v>
      </c>
      <c r="I572" s="45">
        <v>0.93</v>
      </c>
      <c r="J572" s="45">
        <f>114/1000*35</f>
        <v>3.99</v>
      </c>
      <c r="K572" s="45">
        <v>0.09</v>
      </c>
      <c r="L572" s="45">
        <f>145/1000*35</f>
        <v>5.0749999999999993</v>
      </c>
      <c r="M572" s="45">
        <v>11.43</v>
      </c>
      <c r="N572" s="45">
        <v>5.16</v>
      </c>
      <c r="O572" s="45">
        <v>0.23</v>
      </c>
    </row>
    <row r="573" spans="1:15" ht="15.75" x14ac:dyDescent="0.25">
      <c r="A573" s="45"/>
      <c r="B573" s="45" t="s">
        <v>34</v>
      </c>
      <c r="C573" s="45">
        <f>200/1000*35</f>
        <v>7</v>
      </c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</row>
    <row r="574" spans="1:15" ht="15.75" x14ac:dyDescent="0.25">
      <c r="A574" s="45"/>
      <c r="B574" s="45" t="s">
        <v>22</v>
      </c>
      <c r="C574" s="45">
        <v>0.87</v>
      </c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</row>
    <row r="575" spans="1:15" ht="15.75" x14ac:dyDescent="0.25">
      <c r="A575" s="45"/>
      <c r="B575" s="45" t="s">
        <v>23</v>
      </c>
      <c r="C575" s="45">
        <f>30/1000*35</f>
        <v>1.05</v>
      </c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</row>
    <row r="576" spans="1:15" ht="15.75" x14ac:dyDescent="0.25">
      <c r="A576" s="45"/>
      <c r="B576" s="45" t="s">
        <v>46</v>
      </c>
      <c r="C576" s="45">
        <f>50/1000*35</f>
        <v>1.75</v>
      </c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</row>
    <row r="577" spans="1:15" ht="15.75" x14ac:dyDescent="0.25">
      <c r="A577" s="45"/>
      <c r="B577" s="45" t="s">
        <v>47</v>
      </c>
      <c r="C577" s="45">
        <f>10/1000*35</f>
        <v>0.35000000000000003</v>
      </c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</row>
    <row r="578" spans="1:15" ht="15.75" x14ac:dyDescent="0.25">
      <c r="A578" s="45"/>
      <c r="B578" s="45" t="s">
        <v>36</v>
      </c>
      <c r="C578" s="45">
        <v>1.41</v>
      </c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</row>
    <row r="579" spans="1:15" ht="15.75" x14ac:dyDescent="0.25">
      <c r="A579" s="45"/>
      <c r="B579" s="45" t="s">
        <v>37</v>
      </c>
      <c r="C579" s="45">
        <f>78/1000*35</f>
        <v>2.73</v>
      </c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</row>
    <row r="580" spans="1:15" ht="15.75" x14ac:dyDescent="0.25">
      <c r="A580" s="45"/>
      <c r="B580" s="45" t="s">
        <v>174</v>
      </c>
      <c r="C580" s="45">
        <v>0.7</v>
      </c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</row>
    <row r="581" spans="1:15" ht="31.5" x14ac:dyDescent="0.25">
      <c r="A581" s="45">
        <v>486</v>
      </c>
      <c r="B581" s="44" t="s">
        <v>150</v>
      </c>
      <c r="C581" s="45">
        <v>200</v>
      </c>
      <c r="D581" s="45">
        <v>0.1</v>
      </c>
      <c r="E581" s="45">
        <v>0.1</v>
      </c>
      <c r="F581" s="45">
        <v>11.1</v>
      </c>
      <c r="G581" s="45">
        <v>46</v>
      </c>
      <c r="H581" s="45">
        <v>0.01</v>
      </c>
      <c r="I581" s="45">
        <v>0.6</v>
      </c>
      <c r="J581" s="45">
        <v>0</v>
      </c>
      <c r="K581" s="45">
        <v>0.04</v>
      </c>
      <c r="L581" s="45">
        <v>3.4</v>
      </c>
      <c r="M581" s="45">
        <v>2.1</v>
      </c>
      <c r="N581" s="45">
        <v>1.7</v>
      </c>
      <c r="O581" s="45">
        <v>0.46</v>
      </c>
    </row>
    <row r="582" spans="1:15" ht="15.75" x14ac:dyDescent="0.25">
      <c r="A582" s="45"/>
      <c r="B582" s="45" t="s">
        <v>62</v>
      </c>
      <c r="C582" s="45">
        <v>20</v>
      </c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</row>
    <row r="583" spans="1:15" ht="15.75" x14ac:dyDescent="0.25">
      <c r="A583" s="45"/>
      <c r="B583" s="45" t="s">
        <v>22</v>
      </c>
      <c r="C583" s="45">
        <v>10</v>
      </c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</row>
    <row r="584" spans="1:15" ht="15.75" x14ac:dyDescent="0.25">
      <c r="A584" s="45"/>
      <c r="B584" s="45" t="s">
        <v>42</v>
      </c>
      <c r="C584" s="45">
        <v>10</v>
      </c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</row>
    <row r="585" spans="1:15" ht="15.75" x14ac:dyDescent="0.25">
      <c r="A585" s="45"/>
      <c r="B585" s="44" t="s">
        <v>107</v>
      </c>
      <c r="C585" s="45">
        <v>40</v>
      </c>
      <c r="D585" s="45">
        <v>3.04</v>
      </c>
      <c r="E585" s="45">
        <v>0.32</v>
      </c>
      <c r="F585" s="45">
        <v>19.68</v>
      </c>
      <c r="G585" s="45">
        <v>94</v>
      </c>
      <c r="H585" s="45">
        <v>0.04</v>
      </c>
      <c r="I585" s="45">
        <v>0</v>
      </c>
      <c r="J585" s="45">
        <v>0</v>
      </c>
      <c r="K585" s="45">
        <v>0.44</v>
      </c>
      <c r="L585" s="45">
        <v>8</v>
      </c>
      <c r="M585" s="45">
        <v>26</v>
      </c>
      <c r="N585" s="45">
        <v>5.6</v>
      </c>
      <c r="O585" s="45">
        <v>0.44</v>
      </c>
    </row>
    <row r="586" spans="1:15" ht="15.75" x14ac:dyDescent="0.25">
      <c r="A586" s="45"/>
      <c r="B586" s="44" t="s">
        <v>73</v>
      </c>
      <c r="C586" s="45">
        <v>30</v>
      </c>
      <c r="D586" s="45">
        <v>2.64</v>
      </c>
      <c r="E586" s="45">
        <v>0.48</v>
      </c>
      <c r="F586" s="45">
        <v>13.36</v>
      </c>
      <c r="G586" s="45">
        <v>69.599999999999994</v>
      </c>
      <c r="H586" s="45">
        <v>7.0000000000000007E-2</v>
      </c>
      <c r="I586" s="45">
        <v>0</v>
      </c>
      <c r="J586" s="45">
        <v>0</v>
      </c>
      <c r="K586" s="45">
        <v>0.56000000000000005</v>
      </c>
      <c r="L586" s="45">
        <v>14</v>
      </c>
      <c r="M586" s="45">
        <v>63.2</v>
      </c>
      <c r="N586" s="45">
        <v>18.8</v>
      </c>
      <c r="O586" s="45">
        <v>1.56</v>
      </c>
    </row>
    <row r="587" spans="1:15" s="7" customFormat="1" ht="15.75" x14ac:dyDescent="0.25">
      <c r="A587" s="44"/>
      <c r="B587" s="44" t="s">
        <v>377</v>
      </c>
      <c r="C587" s="44"/>
      <c r="D587" s="44">
        <f>D588+D589</f>
        <v>5.8</v>
      </c>
      <c r="E587" s="44">
        <f t="shared" ref="E587:O587" si="27">E588+E589</f>
        <v>5</v>
      </c>
      <c r="F587" s="44">
        <f t="shared" si="27"/>
        <v>9.6</v>
      </c>
      <c r="G587" s="44">
        <f t="shared" si="27"/>
        <v>106</v>
      </c>
      <c r="H587" s="44">
        <f t="shared" si="27"/>
        <v>0.08</v>
      </c>
      <c r="I587" s="44">
        <f t="shared" si="27"/>
        <v>2.6</v>
      </c>
      <c r="J587" s="44">
        <f t="shared" si="27"/>
        <v>0.04</v>
      </c>
      <c r="K587" s="44">
        <f t="shared" si="27"/>
        <v>0</v>
      </c>
      <c r="L587" s="44">
        <f t="shared" si="27"/>
        <v>240</v>
      </c>
      <c r="M587" s="44">
        <f t="shared" si="27"/>
        <v>180</v>
      </c>
      <c r="N587" s="44">
        <f t="shared" si="27"/>
        <v>28</v>
      </c>
      <c r="O587" s="44">
        <f t="shared" si="27"/>
        <v>0.2</v>
      </c>
    </row>
    <row r="588" spans="1:15" ht="15.75" x14ac:dyDescent="0.25">
      <c r="A588" s="45"/>
      <c r="B588" s="44" t="s">
        <v>287</v>
      </c>
      <c r="C588" s="45">
        <v>45</v>
      </c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</row>
    <row r="589" spans="1:15" ht="15.75" x14ac:dyDescent="0.25">
      <c r="A589" s="45">
        <v>515</v>
      </c>
      <c r="B589" s="44" t="s">
        <v>175</v>
      </c>
      <c r="C589" s="45">
        <v>200</v>
      </c>
      <c r="D589" s="45">
        <v>5.8</v>
      </c>
      <c r="E589" s="45">
        <v>5</v>
      </c>
      <c r="F589" s="45">
        <v>9.6</v>
      </c>
      <c r="G589" s="45">
        <v>106</v>
      </c>
      <c r="H589" s="45">
        <v>0.08</v>
      </c>
      <c r="I589" s="45">
        <v>2.6</v>
      </c>
      <c r="J589" s="45">
        <v>0.04</v>
      </c>
      <c r="K589" s="45">
        <v>0</v>
      </c>
      <c r="L589" s="45">
        <v>240</v>
      </c>
      <c r="M589" s="45">
        <v>180</v>
      </c>
      <c r="N589" s="45">
        <v>28</v>
      </c>
      <c r="O589" s="45">
        <v>0.2</v>
      </c>
    </row>
    <row r="590" spans="1:15" s="7" customFormat="1" ht="15.75" x14ac:dyDescent="0.25">
      <c r="A590" s="44"/>
      <c r="B590" s="44" t="s">
        <v>66</v>
      </c>
      <c r="C590" s="44"/>
      <c r="D590" s="44">
        <f t="shared" ref="D590:O590" si="28">D496+D521+D551+D587</f>
        <v>90.434999999999988</v>
      </c>
      <c r="E590" s="44">
        <f t="shared" si="28"/>
        <v>72.460000000000008</v>
      </c>
      <c r="F590" s="44">
        <f t="shared" si="28"/>
        <v>242.4</v>
      </c>
      <c r="G590" s="44">
        <f t="shared" si="28"/>
        <v>2049.2799999999997</v>
      </c>
      <c r="H590" s="44">
        <f t="shared" si="28"/>
        <v>1.0970500000000001</v>
      </c>
      <c r="I590" s="44">
        <f t="shared" si="28"/>
        <v>56.615000000000002</v>
      </c>
      <c r="J590" s="44">
        <f t="shared" si="28"/>
        <v>250.61940766550524</v>
      </c>
      <c r="K590" s="44">
        <f t="shared" si="28"/>
        <v>15.219999999999999</v>
      </c>
      <c r="L590" s="44">
        <f t="shared" si="28"/>
        <v>697.19</v>
      </c>
      <c r="M590" s="44">
        <f t="shared" si="28"/>
        <v>1400.5949999999998</v>
      </c>
      <c r="N590" s="44">
        <f t="shared" si="28"/>
        <v>402.77499999999998</v>
      </c>
      <c r="O590" s="44">
        <f t="shared" si="28"/>
        <v>21.374000000000002</v>
      </c>
    </row>
    <row r="591" spans="1:15" ht="15.75" x14ac:dyDescent="0.2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</row>
    <row r="592" spans="1:15" ht="18" x14ac:dyDescent="0.25">
      <c r="A592" s="1" t="s">
        <v>176</v>
      </c>
    </row>
    <row r="594" spans="1:15" ht="15.75" x14ac:dyDescent="0.25">
      <c r="A594" s="2" t="s">
        <v>19</v>
      </c>
      <c r="B594" s="4"/>
      <c r="C594" s="4"/>
      <c r="D594" s="4"/>
      <c r="E594" s="4"/>
      <c r="F594" s="4"/>
      <c r="G594" s="5"/>
      <c r="H594" s="4"/>
      <c r="I594" s="4"/>
      <c r="J594" s="4"/>
      <c r="K594" s="4"/>
      <c r="L594" s="4"/>
      <c r="M594" s="4"/>
      <c r="N594" s="4"/>
      <c r="O594" s="4"/>
    </row>
    <row r="595" spans="1:15" ht="15" x14ac:dyDescent="0.2">
      <c r="A595" s="62" t="s">
        <v>17</v>
      </c>
      <c r="B595" s="61" t="s">
        <v>0</v>
      </c>
      <c r="C595" s="61" t="s">
        <v>1</v>
      </c>
      <c r="D595" s="63" t="s">
        <v>9</v>
      </c>
      <c r="E595" s="64"/>
      <c r="F595" s="65"/>
      <c r="G595" s="61" t="s">
        <v>10</v>
      </c>
      <c r="H595" s="61" t="s">
        <v>7</v>
      </c>
      <c r="I595" s="61"/>
      <c r="J595" s="61"/>
      <c r="K595" s="61"/>
      <c r="L595" s="61" t="s">
        <v>8</v>
      </c>
      <c r="M595" s="61"/>
      <c r="N595" s="61"/>
      <c r="O595" s="61"/>
    </row>
    <row r="596" spans="1:15" ht="30" x14ac:dyDescent="0.2">
      <c r="A596" s="62"/>
      <c r="B596" s="61"/>
      <c r="C596" s="61"/>
      <c r="D596" s="41" t="s">
        <v>2</v>
      </c>
      <c r="E596" s="42" t="s">
        <v>3</v>
      </c>
      <c r="F596" s="42" t="s">
        <v>4</v>
      </c>
      <c r="G596" s="61"/>
      <c r="H596" s="42" t="s">
        <v>11</v>
      </c>
      <c r="I596" s="42" t="s">
        <v>12</v>
      </c>
      <c r="J596" s="42" t="s">
        <v>13</v>
      </c>
      <c r="K596" s="42" t="s">
        <v>5</v>
      </c>
      <c r="L596" s="43" t="s">
        <v>14</v>
      </c>
      <c r="M596" s="42" t="s">
        <v>15</v>
      </c>
      <c r="N596" s="42" t="s">
        <v>6</v>
      </c>
      <c r="O596" s="42" t="s">
        <v>16</v>
      </c>
    </row>
    <row r="597" spans="1:15" ht="15.75" x14ac:dyDescent="0.25">
      <c r="A597" s="44"/>
      <c r="B597" s="44" t="s">
        <v>344</v>
      </c>
      <c r="C597" s="44"/>
      <c r="D597" s="44">
        <f>D598+D601+D607+D611+D612+D613</f>
        <v>18.579999999999998</v>
      </c>
      <c r="E597" s="44">
        <f t="shared" ref="E597:O597" si="29">E598+E607+E601+E611+E612+E613</f>
        <v>16.259999999999998</v>
      </c>
      <c r="F597" s="44">
        <f t="shared" si="29"/>
        <v>85.08</v>
      </c>
      <c r="G597" s="44">
        <f t="shared" si="29"/>
        <v>562.4</v>
      </c>
      <c r="H597" s="44">
        <f t="shared" si="29"/>
        <v>0.33599999999999997</v>
      </c>
      <c r="I597" s="44">
        <f t="shared" si="29"/>
        <v>1.8800000000000001</v>
      </c>
      <c r="J597" s="44">
        <f t="shared" si="29"/>
        <v>56</v>
      </c>
      <c r="K597" s="44">
        <f t="shared" si="29"/>
        <v>1.45</v>
      </c>
      <c r="L597" s="44">
        <f t="shared" si="29"/>
        <v>258.54000000000002</v>
      </c>
      <c r="M597" s="44">
        <f t="shared" si="29"/>
        <v>361.82</v>
      </c>
      <c r="N597" s="44">
        <f t="shared" si="29"/>
        <v>80.2</v>
      </c>
      <c r="O597" s="44">
        <f t="shared" si="29"/>
        <v>3.726</v>
      </c>
    </row>
    <row r="598" spans="1:15" ht="15.75" x14ac:dyDescent="0.25">
      <c r="A598" s="45">
        <v>58</v>
      </c>
      <c r="B598" s="44" t="s">
        <v>343</v>
      </c>
      <c r="C598" s="45">
        <v>35</v>
      </c>
      <c r="D598" s="45">
        <v>4.0999999999999996</v>
      </c>
      <c r="E598" s="45">
        <v>6.1</v>
      </c>
      <c r="F598" s="45">
        <v>9.9</v>
      </c>
      <c r="G598" s="45">
        <v>111</v>
      </c>
      <c r="H598" s="45">
        <v>0.05</v>
      </c>
      <c r="I598" s="45">
        <v>0</v>
      </c>
      <c r="J598" s="45">
        <v>0</v>
      </c>
      <c r="K598" s="45">
        <v>0.31</v>
      </c>
      <c r="L598" s="45">
        <v>8.5</v>
      </c>
      <c r="M598" s="45">
        <v>45.4</v>
      </c>
      <c r="N598" s="45">
        <v>6.1</v>
      </c>
      <c r="O598" s="45">
        <v>0.67</v>
      </c>
    </row>
    <row r="599" spans="1:15" ht="15.75" x14ac:dyDescent="0.25">
      <c r="A599" s="45"/>
      <c r="B599" s="45" t="s">
        <v>289</v>
      </c>
      <c r="C599" s="45">
        <v>15</v>
      </c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</row>
    <row r="600" spans="1:15" ht="15.75" x14ac:dyDescent="0.25">
      <c r="A600" s="45"/>
      <c r="B600" s="45" t="s">
        <v>107</v>
      </c>
      <c r="C600" s="45">
        <v>20</v>
      </c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</row>
    <row r="601" spans="1:15" ht="31.5" x14ac:dyDescent="0.25">
      <c r="A601" s="45">
        <v>233</v>
      </c>
      <c r="B601" s="44" t="s">
        <v>178</v>
      </c>
      <c r="C601" s="45">
        <v>200</v>
      </c>
      <c r="D601" s="45">
        <f>30/1000*200</f>
        <v>6</v>
      </c>
      <c r="E601" s="45">
        <f>34.3/1000*200</f>
        <v>6.8599999999999994</v>
      </c>
      <c r="F601" s="45">
        <f>142.7/1000*200</f>
        <v>28.54</v>
      </c>
      <c r="G601" s="45">
        <f>999/1000*200</f>
        <v>199.8</v>
      </c>
      <c r="H601" s="45">
        <f>0.73/1000*200</f>
        <v>0.14599999999999999</v>
      </c>
      <c r="I601" s="45">
        <f>5.9/1000*200</f>
        <v>1.1800000000000002</v>
      </c>
      <c r="J601" s="45">
        <f>185/1000*200</f>
        <v>37</v>
      </c>
      <c r="K601" s="45">
        <f>0.7/1000*200</f>
        <v>0.13999999999999999</v>
      </c>
      <c r="L601" s="45">
        <f>598.7/1000*200</f>
        <v>119.74000000000001</v>
      </c>
      <c r="M601" s="45">
        <f>753.6/1000*200</f>
        <v>150.72</v>
      </c>
      <c r="N601" s="45">
        <f>185.5/1000*200</f>
        <v>37.1</v>
      </c>
      <c r="O601" s="45">
        <f>4.68/1000*200</f>
        <v>0.93600000000000005</v>
      </c>
    </row>
    <row r="602" spans="1:15" ht="15.75" x14ac:dyDescent="0.25">
      <c r="A602" s="45"/>
      <c r="B602" s="45" t="s">
        <v>177</v>
      </c>
      <c r="C602" s="45">
        <v>2.7</v>
      </c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</row>
    <row r="603" spans="1:15" ht="15.75" x14ac:dyDescent="0.25">
      <c r="A603" s="45"/>
      <c r="B603" s="45" t="s">
        <v>22</v>
      </c>
      <c r="C603" s="45">
        <f>25/1000*200</f>
        <v>5</v>
      </c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</row>
    <row r="604" spans="1:15" ht="15.75" x14ac:dyDescent="0.25">
      <c r="A604" s="45"/>
      <c r="B604" s="45" t="s">
        <v>23</v>
      </c>
      <c r="C604" s="45">
        <v>5</v>
      </c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</row>
    <row r="605" spans="1:15" ht="15.75" x14ac:dyDescent="0.25">
      <c r="A605" s="45"/>
      <c r="B605" s="45" t="s">
        <v>153</v>
      </c>
      <c r="C605" s="45">
        <f>148.5/1000*200</f>
        <v>29.7</v>
      </c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</row>
    <row r="606" spans="1:15" ht="15.75" x14ac:dyDescent="0.25">
      <c r="A606" s="45"/>
      <c r="B606" s="45" t="s">
        <v>25</v>
      </c>
      <c r="C606" s="45">
        <f>450/1000*200</f>
        <v>90</v>
      </c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</row>
    <row r="607" spans="1:15" ht="15.75" x14ac:dyDescent="0.25">
      <c r="A607" s="45">
        <v>465</v>
      </c>
      <c r="B607" s="44" t="s">
        <v>28</v>
      </c>
      <c r="C607" s="45">
        <v>200</v>
      </c>
      <c r="D607" s="45">
        <v>2.8</v>
      </c>
      <c r="E607" s="45">
        <v>2.5</v>
      </c>
      <c r="F607" s="45">
        <v>13.6</v>
      </c>
      <c r="G607" s="45">
        <v>88</v>
      </c>
      <c r="H607" s="45">
        <v>0.03</v>
      </c>
      <c r="I607" s="45">
        <v>0.7</v>
      </c>
      <c r="J607" s="45">
        <v>19</v>
      </c>
      <c r="K607" s="45">
        <v>0</v>
      </c>
      <c r="L607" s="45">
        <v>108.3</v>
      </c>
      <c r="M607" s="45">
        <v>76.5</v>
      </c>
      <c r="N607" s="45">
        <v>12.6</v>
      </c>
      <c r="O607" s="45">
        <v>0.12</v>
      </c>
    </row>
    <row r="608" spans="1:15" ht="15.75" x14ac:dyDescent="0.25">
      <c r="A608" s="45"/>
      <c r="B608" s="45" t="s">
        <v>22</v>
      </c>
      <c r="C608" s="45">
        <v>10</v>
      </c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</row>
    <row r="609" spans="1:15" ht="15.75" x14ac:dyDescent="0.25">
      <c r="A609" s="45"/>
      <c r="B609" s="45" t="s">
        <v>120</v>
      </c>
      <c r="C609" s="45">
        <v>2.4</v>
      </c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</row>
    <row r="610" spans="1:15" ht="15.75" x14ac:dyDescent="0.25">
      <c r="A610" s="45"/>
      <c r="B610" s="45" t="s">
        <v>25</v>
      </c>
      <c r="C610" s="45">
        <v>100</v>
      </c>
      <c r="D610" s="45"/>
      <c r="E610" s="45"/>
      <c r="F610" s="45"/>
      <c r="G610" s="45"/>
      <c r="H610" s="45"/>
      <c r="I610" s="47"/>
      <c r="J610" s="45"/>
      <c r="K610" s="45"/>
      <c r="L610" s="45"/>
      <c r="M610" s="45"/>
      <c r="N610" s="45"/>
      <c r="O610" s="45"/>
    </row>
    <row r="611" spans="1:15" ht="15.75" x14ac:dyDescent="0.25">
      <c r="A611" s="45"/>
      <c r="B611" s="44" t="s">
        <v>74</v>
      </c>
      <c r="C611" s="45">
        <v>150</v>
      </c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</row>
    <row r="612" spans="1:15" ht="15.75" x14ac:dyDescent="0.25">
      <c r="A612" s="45"/>
      <c r="B612" s="44" t="s">
        <v>107</v>
      </c>
      <c r="C612" s="45">
        <v>40</v>
      </c>
      <c r="D612" s="45">
        <v>3.04</v>
      </c>
      <c r="E612" s="45">
        <v>0.32</v>
      </c>
      <c r="F612" s="45">
        <v>19.68</v>
      </c>
      <c r="G612" s="45">
        <v>94</v>
      </c>
      <c r="H612" s="45">
        <v>0.04</v>
      </c>
      <c r="I612" s="45">
        <v>0</v>
      </c>
      <c r="J612" s="45">
        <v>0</v>
      </c>
      <c r="K612" s="45">
        <v>0.44</v>
      </c>
      <c r="L612" s="45">
        <v>8</v>
      </c>
      <c r="M612" s="45">
        <v>26</v>
      </c>
      <c r="N612" s="45">
        <v>5.6</v>
      </c>
      <c r="O612" s="45">
        <v>0.44</v>
      </c>
    </row>
    <row r="613" spans="1:15" ht="15.75" x14ac:dyDescent="0.25">
      <c r="A613" s="45"/>
      <c r="B613" s="44" t="s">
        <v>73</v>
      </c>
      <c r="C613" s="45">
        <v>30</v>
      </c>
      <c r="D613" s="45">
        <v>2.64</v>
      </c>
      <c r="E613" s="45">
        <v>0.48</v>
      </c>
      <c r="F613" s="45">
        <v>13.36</v>
      </c>
      <c r="G613" s="45">
        <v>69.599999999999994</v>
      </c>
      <c r="H613" s="45">
        <v>7.0000000000000007E-2</v>
      </c>
      <c r="I613" s="45">
        <v>0</v>
      </c>
      <c r="J613" s="45">
        <v>0</v>
      </c>
      <c r="K613" s="45">
        <v>0.56000000000000005</v>
      </c>
      <c r="L613" s="45">
        <v>14</v>
      </c>
      <c r="M613" s="45">
        <v>63.2</v>
      </c>
      <c r="N613" s="45">
        <v>18.8</v>
      </c>
      <c r="O613" s="45">
        <v>1.56</v>
      </c>
    </row>
    <row r="614" spans="1:15" s="7" customFormat="1" ht="15.75" x14ac:dyDescent="0.25">
      <c r="A614" s="44"/>
      <c r="B614" s="44" t="s">
        <v>373</v>
      </c>
      <c r="C614" s="44"/>
      <c r="D614" s="44">
        <f t="shared" ref="D614:O614" si="30">D615+D619+D628+D634+D637+D638</f>
        <v>32.119999999999997</v>
      </c>
      <c r="E614" s="44">
        <f t="shared" si="30"/>
        <v>34.229999999999997</v>
      </c>
      <c r="F614" s="44">
        <f t="shared" si="30"/>
        <v>84.61</v>
      </c>
      <c r="G614" s="44">
        <f t="shared" si="30"/>
        <v>777.1</v>
      </c>
      <c r="H614" s="44">
        <f t="shared" si="30"/>
        <v>0.33</v>
      </c>
      <c r="I614" s="44">
        <f t="shared" si="30"/>
        <v>16.880000000000003</v>
      </c>
      <c r="J614" s="44">
        <f t="shared" si="30"/>
        <v>0</v>
      </c>
      <c r="K614" s="44">
        <f t="shared" si="30"/>
        <v>9.67</v>
      </c>
      <c r="L614" s="44">
        <f t="shared" si="30"/>
        <v>107.06</v>
      </c>
      <c r="M614" s="44">
        <f t="shared" si="30"/>
        <v>466.88</v>
      </c>
      <c r="N614" s="44">
        <f t="shared" si="30"/>
        <v>114.64999999999999</v>
      </c>
      <c r="O614" s="44">
        <f t="shared" si="30"/>
        <v>8.5</v>
      </c>
    </row>
    <row r="615" spans="1:15" ht="15.75" x14ac:dyDescent="0.25">
      <c r="A615" s="45">
        <v>22</v>
      </c>
      <c r="B615" s="44" t="s">
        <v>179</v>
      </c>
      <c r="C615" s="45">
        <v>60</v>
      </c>
      <c r="D615" s="45">
        <f>1/100*60</f>
        <v>0.6</v>
      </c>
      <c r="E615" s="45">
        <f>6.2/100*60</f>
        <v>3.7199999999999998</v>
      </c>
      <c r="F615" s="45">
        <f>8.2/100*60</f>
        <v>4.919999999999999</v>
      </c>
      <c r="G615" s="45">
        <f>93/100*60</f>
        <v>55.800000000000004</v>
      </c>
      <c r="H615" s="45">
        <f>0.05/100*60</f>
        <v>0.03</v>
      </c>
      <c r="I615" s="45">
        <f>4.6/100*60</f>
        <v>2.76</v>
      </c>
      <c r="J615" s="45">
        <v>0</v>
      </c>
      <c r="K615" s="45">
        <f>3.8/100*60</f>
        <v>2.2799999999999998</v>
      </c>
      <c r="L615" s="45">
        <f>23.3/100*60</f>
        <v>13.98</v>
      </c>
      <c r="M615" s="45">
        <f>38.8/100*60</f>
        <v>23.279999999999998</v>
      </c>
      <c r="N615" s="45">
        <f>27.3/100*60</f>
        <v>16.380000000000003</v>
      </c>
      <c r="O615" s="45">
        <v>0.78</v>
      </c>
    </row>
    <row r="616" spans="1:15" ht="15.75" x14ac:dyDescent="0.25">
      <c r="A616" s="45"/>
      <c r="B616" s="45" t="s">
        <v>62</v>
      </c>
      <c r="C616" s="45">
        <f>39.6/100*60</f>
        <v>23.76</v>
      </c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</row>
    <row r="617" spans="1:15" ht="15.75" x14ac:dyDescent="0.25">
      <c r="A617" s="45"/>
      <c r="B617" s="45" t="s">
        <v>37</v>
      </c>
      <c r="C617" s="45">
        <f>62.4/100*60</f>
        <v>37.44</v>
      </c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</row>
    <row r="618" spans="1:15" ht="15.75" x14ac:dyDescent="0.25">
      <c r="A618" s="45"/>
      <c r="B618" s="45" t="s">
        <v>41</v>
      </c>
      <c r="C618" s="45">
        <f>6/100*60</f>
        <v>3.5999999999999996</v>
      </c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</row>
    <row r="619" spans="1:15" ht="15.75" x14ac:dyDescent="0.25">
      <c r="A619" s="45">
        <v>119</v>
      </c>
      <c r="B619" s="44" t="s">
        <v>180</v>
      </c>
      <c r="C619" s="45">
        <v>250</v>
      </c>
      <c r="D619" s="45">
        <v>2.13</v>
      </c>
      <c r="E619" s="45">
        <v>5.0999999999999996</v>
      </c>
      <c r="F619" s="45">
        <v>14.55</v>
      </c>
      <c r="G619" s="45">
        <v>112.5</v>
      </c>
      <c r="H619" s="45">
        <v>0.05</v>
      </c>
      <c r="I619" s="45">
        <v>9.9499999999999993</v>
      </c>
      <c r="J619" s="45">
        <v>0</v>
      </c>
      <c r="K619" s="45">
        <v>2.4300000000000002</v>
      </c>
      <c r="L619" s="45">
        <v>26.25</v>
      </c>
      <c r="M619" s="45">
        <v>67</v>
      </c>
      <c r="N619" s="45">
        <v>19.5</v>
      </c>
      <c r="O619" s="45">
        <v>0.73</v>
      </c>
    </row>
    <row r="620" spans="1:15" ht="15.75" x14ac:dyDescent="0.25">
      <c r="A620" s="45"/>
      <c r="B620" s="45" t="s">
        <v>35</v>
      </c>
      <c r="C620" s="45">
        <v>10</v>
      </c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</row>
    <row r="621" spans="1:15" ht="15.75" x14ac:dyDescent="0.25">
      <c r="A621" s="45"/>
      <c r="B621" s="45" t="s">
        <v>47</v>
      </c>
      <c r="C621" s="45">
        <v>2</v>
      </c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</row>
    <row r="622" spans="1:15" ht="15.75" x14ac:dyDescent="0.25">
      <c r="A622" s="45"/>
      <c r="B622" s="45" t="s">
        <v>152</v>
      </c>
      <c r="C622" s="45">
        <f>40/1000*250</f>
        <v>10</v>
      </c>
      <c r="D622" s="45"/>
      <c r="E622" s="45"/>
      <c r="F622" s="45"/>
      <c r="G622" s="45"/>
      <c r="H622" s="45"/>
      <c r="I622" s="45"/>
      <c r="J622" s="45"/>
      <c r="K622" s="45"/>
      <c r="L622" s="45"/>
      <c r="M622" s="47"/>
      <c r="N622" s="45"/>
      <c r="O622" s="45"/>
    </row>
    <row r="623" spans="1:15" ht="15.75" x14ac:dyDescent="0.25">
      <c r="A623" s="45"/>
      <c r="B623" s="45" t="s">
        <v>36</v>
      </c>
      <c r="C623" s="45">
        <v>10</v>
      </c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</row>
    <row r="624" spans="1:15" ht="15.75" x14ac:dyDescent="0.25">
      <c r="A624" s="45"/>
      <c r="B624" s="45" t="s">
        <v>37</v>
      </c>
      <c r="C624" s="45">
        <f>39/1000*250</f>
        <v>9.75</v>
      </c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</row>
    <row r="625" spans="1:15" ht="15.75" x14ac:dyDescent="0.25">
      <c r="A625" s="45"/>
      <c r="B625" s="45" t="s">
        <v>38</v>
      </c>
      <c r="C625" s="45">
        <f>120/1000*250</f>
        <v>30</v>
      </c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</row>
    <row r="626" spans="1:15" ht="15.75" x14ac:dyDescent="0.25">
      <c r="A626" s="45"/>
      <c r="B626" s="45" t="s">
        <v>77</v>
      </c>
      <c r="C626" s="45">
        <v>25.12</v>
      </c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</row>
    <row r="627" spans="1:15" ht="15.75" x14ac:dyDescent="0.25">
      <c r="A627" s="45"/>
      <c r="B627" s="45" t="s">
        <v>41</v>
      </c>
      <c r="C627" s="45">
        <v>5</v>
      </c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</row>
    <row r="628" spans="1:15" ht="15.75" x14ac:dyDescent="0.25">
      <c r="A628" s="45">
        <v>328</v>
      </c>
      <c r="B628" s="44" t="s">
        <v>181</v>
      </c>
      <c r="C628" s="45">
        <v>230</v>
      </c>
      <c r="D628" s="45">
        <v>23.41</v>
      </c>
      <c r="E628" s="45">
        <v>24.6</v>
      </c>
      <c r="F628" s="45">
        <v>14.6</v>
      </c>
      <c r="G628" s="45">
        <v>373.2</v>
      </c>
      <c r="H628" s="45">
        <v>0.14000000000000001</v>
      </c>
      <c r="I628" s="45">
        <v>4.07</v>
      </c>
      <c r="J628" s="45">
        <v>0</v>
      </c>
      <c r="K628" s="45">
        <v>3.86</v>
      </c>
      <c r="L628" s="45">
        <v>28.43</v>
      </c>
      <c r="M628" s="45">
        <v>276.7</v>
      </c>
      <c r="N628" s="45">
        <v>50.07</v>
      </c>
      <c r="O628" s="45">
        <v>4.09</v>
      </c>
    </row>
    <row r="629" spans="1:15" ht="15.75" x14ac:dyDescent="0.25">
      <c r="A629" s="45"/>
      <c r="B629" s="45" t="s">
        <v>125</v>
      </c>
      <c r="C629" s="45">
        <v>117</v>
      </c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</row>
    <row r="630" spans="1:15" ht="15.75" x14ac:dyDescent="0.25">
      <c r="A630" s="45"/>
      <c r="B630" s="45" t="s">
        <v>34</v>
      </c>
      <c r="C630" s="45">
        <v>7.3</v>
      </c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</row>
    <row r="631" spans="1:15" ht="15.75" x14ac:dyDescent="0.25">
      <c r="A631" s="45"/>
      <c r="B631" s="45" t="s">
        <v>41</v>
      </c>
      <c r="C631" s="45">
        <v>7.3</v>
      </c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</row>
    <row r="632" spans="1:15" ht="15.75" x14ac:dyDescent="0.25">
      <c r="A632" s="45"/>
      <c r="B632" s="45" t="s">
        <v>36</v>
      </c>
      <c r="C632" s="45">
        <v>15.3</v>
      </c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</row>
    <row r="633" spans="1:15" ht="15.75" x14ac:dyDescent="0.25">
      <c r="A633" s="45"/>
      <c r="B633" s="45" t="s">
        <v>77</v>
      </c>
      <c r="C633" s="45">
        <v>119.18</v>
      </c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</row>
    <row r="634" spans="1:15" ht="15.75" x14ac:dyDescent="0.25">
      <c r="A634" s="45">
        <v>494</v>
      </c>
      <c r="B634" s="44" t="s">
        <v>351</v>
      </c>
      <c r="C634" s="45">
        <v>200</v>
      </c>
      <c r="D634" s="45">
        <v>0.3</v>
      </c>
      <c r="E634" s="45">
        <v>0.01</v>
      </c>
      <c r="F634" s="45">
        <v>17.5</v>
      </c>
      <c r="G634" s="45">
        <v>72</v>
      </c>
      <c r="H634" s="45">
        <v>0</v>
      </c>
      <c r="I634" s="45">
        <v>0.1</v>
      </c>
      <c r="J634" s="45">
        <v>0</v>
      </c>
      <c r="K634" s="45">
        <v>0.1</v>
      </c>
      <c r="L634" s="45">
        <v>16.399999999999999</v>
      </c>
      <c r="M634" s="45">
        <v>10.7</v>
      </c>
      <c r="N634" s="45">
        <v>4.3</v>
      </c>
      <c r="O634" s="45">
        <v>0.9</v>
      </c>
    </row>
    <row r="635" spans="1:15" ht="15.75" x14ac:dyDescent="0.25">
      <c r="A635" s="45"/>
      <c r="B635" s="45" t="s">
        <v>22</v>
      </c>
      <c r="C635" s="45">
        <v>10</v>
      </c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</row>
    <row r="636" spans="1:15" ht="15.75" x14ac:dyDescent="0.25">
      <c r="A636" s="45"/>
      <c r="B636" s="45" t="s">
        <v>177</v>
      </c>
      <c r="C636" s="45">
        <v>20</v>
      </c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</row>
    <row r="637" spans="1:15" ht="15.75" x14ac:dyDescent="0.25">
      <c r="A637" s="45"/>
      <c r="B637" s="44" t="s">
        <v>107</v>
      </c>
      <c r="C637" s="45">
        <v>40</v>
      </c>
      <c r="D637" s="45">
        <v>3.04</v>
      </c>
      <c r="E637" s="45">
        <v>0.32</v>
      </c>
      <c r="F637" s="45">
        <v>19.68</v>
      </c>
      <c r="G637" s="45">
        <v>94</v>
      </c>
      <c r="H637" s="45">
        <v>0.04</v>
      </c>
      <c r="I637" s="45">
        <v>0</v>
      </c>
      <c r="J637" s="45">
        <v>0</v>
      </c>
      <c r="K637" s="45">
        <v>0.44</v>
      </c>
      <c r="L637" s="45">
        <v>8</v>
      </c>
      <c r="M637" s="45">
        <v>26</v>
      </c>
      <c r="N637" s="45">
        <v>5.6</v>
      </c>
      <c r="O637" s="45">
        <v>0.44</v>
      </c>
    </row>
    <row r="638" spans="1:15" ht="15.75" x14ac:dyDescent="0.25">
      <c r="A638" s="45"/>
      <c r="B638" s="44" t="s">
        <v>73</v>
      </c>
      <c r="C638" s="45">
        <v>30</v>
      </c>
      <c r="D638" s="45">
        <v>2.64</v>
      </c>
      <c r="E638" s="45">
        <v>0.48</v>
      </c>
      <c r="F638" s="45">
        <v>13.36</v>
      </c>
      <c r="G638" s="45">
        <v>69.599999999999994</v>
      </c>
      <c r="H638" s="45">
        <v>7.0000000000000007E-2</v>
      </c>
      <c r="I638" s="45">
        <v>0</v>
      </c>
      <c r="J638" s="45">
        <v>0</v>
      </c>
      <c r="K638" s="45">
        <v>0.56000000000000005</v>
      </c>
      <c r="L638" s="45">
        <v>14</v>
      </c>
      <c r="M638" s="45">
        <v>63.2</v>
      </c>
      <c r="N638" s="45">
        <v>18.8</v>
      </c>
      <c r="O638" s="45">
        <v>1.56</v>
      </c>
    </row>
    <row r="639" spans="1:15" s="7" customFormat="1" ht="15.75" x14ac:dyDescent="0.25">
      <c r="A639" s="44"/>
      <c r="B639" s="44" t="s">
        <v>378</v>
      </c>
      <c r="C639" s="44"/>
      <c r="D639" s="44">
        <f t="shared" ref="D639:O639" si="31">D640+D646+D657+D664+D668+D669</f>
        <v>24.939999999999998</v>
      </c>
      <c r="E639" s="44">
        <f t="shared" si="31"/>
        <v>26.254999999999999</v>
      </c>
      <c r="F639" s="44">
        <f t="shared" si="31"/>
        <v>95.314000000000007</v>
      </c>
      <c r="G639" s="44">
        <f t="shared" si="31"/>
        <v>718.38499999999999</v>
      </c>
      <c r="H639" s="44">
        <f t="shared" si="31"/>
        <v>0.255</v>
      </c>
      <c r="I639" s="44">
        <f t="shared" si="31"/>
        <v>18.998999999999999</v>
      </c>
      <c r="J639" s="44">
        <f t="shared" si="31"/>
        <v>0</v>
      </c>
      <c r="K639" s="44">
        <f t="shared" si="31"/>
        <v>10.531999999999998</v>
      </c>
      <c r="L639" s="44">
        <f t="shared" si="31"/>
        <v>107.13200000000001</v>
      </c>
      <c r="M639" s="44">
        <f t="shared" si="31"/>
        <v>363.26</v>
      </c>
      <c r="N639" s="44">
        <f t="shared" si="31"/>
        <v>114.43499999999999</v>
      </c>
      <c r="O639" s="44">
        <f t="shared" si="31"/>
        <v>6.5970000000000013</v>
      </c>
    </row>
    <row r="640" spans="1:15" ht="31.5" x14ac:dyDescent="0.25">
      <c r="A640" s="45">
        <v>20</v>
      </c>
      <c r="B640" s="44" t="s">
        <v>182</v>
      </c>
      <c r="C640" s="45">
        <v>60</v>
      </c>
      <c r="D640" s="45">
        <f>1/100*60</f>
        <v>0.6</v>
      </c>
      <c r="E640" s="47">
        <v>3.72</v>
      </c>
      <c r="F640" s="45">
        <f>3.5/100*60</f>
        <v>2.1</v>
      </c>
      <c r="G640" s="45">
        <f>73/100*60</f>
        <v>43.8</v>
      </c>
      <c r="H640" s="45">
        <f>0.05/100*60</f>
        <v>0.03</v>
      </c>
      <c r="I640" s="45">
        <f>13.4/100*60</f>
        <v>8.0400000000000009</v>
      </c>
      <c r="J640" s="45">
        <v>0</v>
      </c>
      <c r="K640" s="45">
        <f>3.9/100*60</f>
        <v>2.34</v>
      </c>
      <c r="L640" s="45">
        <f>17.5/100*60</f>
        <v>10.5</v>
      </c>
      <c r="M640" s="45">
        <f>30.6/100*60</f>
        <v>18.36</v>
      </c>
      <c r="N640" s="45">
        <f>16.3/100*60</f>
        <v>9.7800000000000011</v>
      </c>
      <c r="O640" s="45">
        <f>0.72/100*60</f>
        <v>0.432</v>
      </c>
    </row>
    <row r="641" spans="1:15" ht="15.75" x14ac:dyDescent="0.25">
      <c r="A641" s="45"/>
      <c r="B641" s="45" t="s">
        <v>183</v>
      </c>
      <c r="C641" s="45">
        <f>20.2/100*60</f>
        <v>12.12</v>
      </c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</row>
    <row r="642" spans="1:15" ht="15.75" x14ac:dyDescent="0.25">
      <c r="A642" s="45"/>
      <c r="B642" s="45" t="s">
        <v>170</v>
      </c>
      <c r="C642" s="45">
        <f>63.6/100*60</f>
        <v>38.160000000000004</v>
      </c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</row>
    <row r="643" spans="1:15" ht="15.75" x14ac:dyDescent="0.25">
      <c r="A643" s="45"/>
      <c r="B643" s="45" t="s">
        <v>47</v>
      </c>
      <c r="C643" s="45">
        <f>0.25/100*60</f>
        <v>0.15</v>
      </c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</row>
    <row r="644" spans="1:15" ht="15.75" x14ac:dyDescent="0.25">
      <c r="A644" s="45"/>
      <c r="B644" s="45" t="s">
        <v>184</v>
      </c>
      <c r="C644" s="45">
        <f>11.2/100*60</f>
        <v>6.7199999999999989</v>
      </c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</row>
    <row r="645" spans="1:15" ht="15.75" x14ac:dyDescent="0.25">
      <c r="A645" s="45"/>
      <c r="B645" s="45" t="s">
        <v>41</v>
      </c>
      <c r="C645" s="45">
        <f>6/100*60</f>
        <v>3.5999999999999996</v>
      </c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</row>
    <row r="646" spans="1:15" ht="15.75" x14ac:dyDescent="0.25">
      <c r="A646" s="45">
        <v>95</v>
      </c>
      <c r="B646" s="44" t="s">
        <v>31</v>
      </c>
      <c r="C646" s="45">
        <v>250</v>
      </c>
      <c r="D646" s="45">
        <f>7.2/1000*250</f>
        <v>1.8</v>
      </c>
      <c r="E646" s="45">
        <f>17.7/1000*250</f>
        <v>4.4249999999999998</v>
      </c>
      <c r="F646" s="45">
        <f>28.6/1000*250</f>
        <v>7.15</v>
      </c>
      <c r="G646" s="45">
        <f>302.5/1000*250</f>
        <v>75.625</v>
      </c>
      <c r="H646" s="45">
        <f>0.18/1000*250</f>
        <v>4.4999999999999998E-2</v>
      </c>
      <c r="I646" s="45">
        <f>29.9/1000*250</f>
        <v>7.4749999999999996</v>
      </c>
      <c r="J646" s="45">
        <v>0</v>
      </c>
      <c r="K646" s="45">
        <f>9.6/1000*250</f>
        <v>2.4</v>
      </c>
      <c r="L646" s="45">
        <v>40.799999999999997</v>
      </c>
      <c r="M646" s="45">
        <v>52.8</v>
      </c>
      <c r="N646" s="45">
        <f>102.7/1000*250</f>
        <v>25.675000000000001</v>
      </c>
      <c r="O646" s="45">
        <f>4.86/1000*250</f>
        <v>1.2150000000000001</v>
      </c>
    </row>
    <row r="647" spans="1:15" ht="15.75" x14ac:dyDescent="0.25">
      <c r="A647" s="45"/>
      <c r="B647" s="45" t="s">
        <v>33</v>
      </c>
      <c r="C647" s="45">
        <v>40</v>
      </c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</row>
    <row r="648" spans="1:15" ht="15.75" x14ac:dyDescent="0.25">
      <c r="A648" s="45"/>
      <c r="B648" s="45" t="s">
        <v>34</v>
      </c>
      <c r="C648" s="45">
        <v>7.5</v>
      </c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</row>
    <row r="649" spans="1:15" ht="15.75" x14ac:dyDescent="0.25">
      <c r="A649" s="45"/>
      <c r="B649" s="45" t="s">
        <v>22</v>
      </c>
      <c r="C649" s="45">
        <v>2.5</v>
      </c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</row>
    <row r="650" spans="1:15" ht="15.75" x14ac:dyDescent="0.25">
      <c r="A650" s="45"/>
      <c r="B650" s="45" t="s">
        <v>35</v>
      </c>
      <c r="C650" s="45">
        <v>12.5</v>
      </c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</row>
    <row r="651" spans="1:15" ht="15.75" x14ac:dyDescent="0.25">
      <c r="A651" s="45"/>
      <c r="B651" s="45" t="s">
        <v>36</v>
      </c>
      <c r="C651" s="45">
        <v>10.07</v>
      </c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</row>
    <row r="652" spans="1:15" ht="15.75" x14ac:dyDescent="0.25">
      <c r="A652" s="45"/>
      <c r="B652" s="45" t="s">
        <v>37</v>
      </c>
      <c r="C652" s="45">
        <v>12.27</v>
      </c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</row>
    <row r="653" spans="1:15" ht="15.75" x14ac:dyDescent="0.25">
      <c r="A653" s="45"/>
      <c r="B653" s="45" t="s">
        <v>38</v>
      </c>
      <c r="C653" s="45">
        <f>80/1000*250</f>
        <v>20</v>
      </c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</row>
    <row r="654" spans="1:15" ht="15.75" x14ac:dyDescent="0.25">
      <c r="A654" s="45"/>
      <c r="B654" s="45" t="s">
        <v>77</v>
      </c>
      <c r="C654" s="45">
        <v>20.05</v>
      </c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</row>
    <row r="655" spans="1:15" ht="15.75" x14ac:dyDescent="0.25">
      <c r="A655" s="45"/>
      <c r="B655" s="45" t="s">
        <v>41</v>
      </c>
      <c r="C655" s="45">
        <v>5</v>
      </c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</row>
    <row r="656" spans="1:15" ht="15.75" x14ac:dyDescent="0.25">
      <c r="A656" s="45"/>
      <c r="B656" s="45" t="s">
        <v>42</v>
      </c>
      <c r="C656" s="45">
        <v>3.75</v>
      </c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</row>
    <row r="657" spans="1:48" ht="15.75" x14ac:dyDescent="0.25">
      <c r="A657" s="45">
        <v>330</v>
      </c>
      <c r="B657" s="44" t="s">
        <v>185</v>
      </c>
      <c r="C657" s="45">
        <v>230</v>
      </c>
      <c r="D657" s="45">
        <f>18/250*230</f>
        <v>16.559999999999999</v>
      </c>
      <c r="E657" s="45">
        <v>17.11</v>
      </c>
      <c r="F657" s="45">
        <f>42.2/250*230</f>
        <v>38.823999999999998</v>
      </c>
      <c r="G657" s="45">
        <f>408/250*230</f>
        <v>375.35999999999996</v>
      </c>
      <c r="H657" s="45">
        <v>0.05</v>
      </c>
      <c r="I657" s="45">
        <f>0.2/250*230</f>
        <v>0.184</v>
      </c>
      <c r="J657" s="45">
        <v>0</v>
      </c>
      <c r="K657" s="45">
        <f>5.1/250*230</f>
        <v>4.6919999999999993</v>
      </c>
      <c r="L657" s="45">
        <f>22.1/250*230</f>
        <v>20.332000000000001</v>
      </c>
      <c r="M657" s="45">
        <v>194.9</v>
      </c>
      <c r="N657" s="45">
        <v>48.68</v>
      </c>
      <c r="O657" s="45">
        <v>1.79</v>
      </c>
      <c r="AV657" s="3">
        <v>2</v>
      </c>
    </row>
    <row r="658" spans="1:48" ht="15.75" x14ac:dyDescent="0.25">
      <c r="A658" s="45"/>
      <c r="B658" s="45" t="s">
        <v>44</v>
      </c>
      <c r="C658" s="45">
        <v>61.91</v>
      </c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</row>
    <row r="659" spans="1:48" ht="15.75" x14ac:dyDescent="0.25">
      <c r="A659" s="45"/>
      <c r="B659" s="45" t="s">
        <v>125</v>
      </c>
      <c r="C659" s="45">
        <f>82/250*230</f>
        <v>75.44</v>
      </c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</row>
    <row r="660" spans="1:48" ht="15.75" x14ac:dyDescent="0.25">
      <c r="A660" s="45"/>
      <c r="B660" s="45" t="s">
        <v>41</v>
      </c>
      <c r="C660" s="45">
        <f>10/250*230</f>
        <v>9.2000000000000011</v>
      </c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</row>
    <row r="661" spans="1:48" ht="15.75" x14ac:dyDescent="0.25">
      <c r="A661" s="45"/>
      <c r="B661" s="45" t="s">
        <v>47</v>
      </c>
      <c r="C661" s="45">
        <f>1/250*230</f>
        <v>0.92</v>
      </c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</row>
    <row r="662" spans="1:48" ht="15.75" x14ac:dyDescent="0.25">
      <c r="A662" s="45"/>
      <c r="B662" s="45" t="s">
        <v>36</v>
      </c>
      <c r="C662" s="45">
        <v>9.1999999999999993</v>
      </c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</row>
    <row r="663" spans="1:48" ht="15.75" x14ac:dyDescent="0.25">
      <c r="A663" s="45"/>
      <c r="B663" s="45" t="s">
        <v>37</v>
      </c>
      <c r="C663" s="45">
        <v>22.17</v>
      </c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</row>
    <row r="664" spans="1:48" ht="15.75" x14ac:dyDescent="0.25">
      <c r="A664" s="45">
        <v>487</v>
      </c>
      <c r="B664" s="44" t="s">
        <v>337</v>
      </c>
      <c r="C664" s="45">
        <v>200</v>
      </c>
      <c r="D664" s="45">
        <v>0.3</v>
      </c>
      <c r="E664" s="45">
        <v>0.2</v>
      </c>
      <c r="F664" s="45">
        <v>14.2</v>
      </c>
      <c r="G664" s="45">
        <v>60</v>
      </c>
      <c r="H664" s="45">
        <v>0.02</v>
      </c>
      <c r="I664" s="45">
        <v>3.3</v>
      </c>
      <c r="J664" s="45">
        <v>0</v>
      </c>
      <c r="K664" s="45">
        <v>0.1</v>
      </c>
      <c r="L664" s="45">
        <v>13.5</v>
      </c>
      <c r="M664" s="45">
        <v>8</v>
      </c>
      <c r="N664" s="45">
        <v>5.9</v>
      </c>
      <c r="O664" s="45">
        <v>1.1599999999999999</v>
      </c>
    </row>
    <row r="665" spans="1:48" ht="15.75" x14ac:dyDescent="0.25">
      <c r="A665" s="45"/>
      <c r="B665" s="45" t="s">
        <v>62</v>
      </c>
      <c r="C665" s="45">
        <v>49.2</v>
      </c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</row>
    <row r="666" spans="1:48" ht="15.75" x14ac:dyDescent="0.25">
      <c r="A666" s="45"/>
      <c r="B666" s="45" t="s">
        <v>22</v>
      </c>
      <c r="C666" s="45">
        <v>10</v>
      </c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</row>
    <row r="667" spans="1:48" ht="15.75" x14ac:dyDescent="0.25">
      <c r="A667" s="45"/>
      <c r="B667" s="45" t="s">
        <v>55</v>
      </c>
      <c r="C667" s="45">
        <v>14.4</v>
      </c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</row>
    <row r="668" spans="1:48" ht="15.75" x14ac:dyDescent="0.25">
      <c r="A668" s="45"/>
      <c r="B668" s="44" t="s">
        <v>107</v>
      </c>
      <c r="C668" s="45">
        <v>40</v>
      </c>
      <c r="D668" s="45">
        <v>3.04</v>
      </c>
      <c r="E668" s="45">
        <v>0.32</v>
      </c>
      <c r="F668" s="45">
        <v>19.68</v>
      </c>
      <c r="G668" s="45">
        <v>94</v>
      </c>
      <c r="H668" s="45">
        <v>0.04</v>
      </c>
      <c r="I668" s="45">
        <v>0</v>
      </c>
      <c r="J668" s="45">
        <v>0</v>
      </c>
      <c r="K668" s="45">
        <v>0.44</v>
      </c>
      <c r="L668" s="45">
        <v>8</v>
      </c>
      <c r="M668" s="45">
        <v>26</v>
      </c>
      <c r="N668" s="45">
        <v>5.6</v>
      </c>
      <c r="O668" s="45">
        <v>0.44</v>
      </c>
    </row>
    <row r="669" spans="1:48" ht="15.75" x14ac:dyDescent="0.25">
      <c r="A669" s="45"/>
      <c r="B669" s="44" t="s">
        <v>73</v>
      </c>
      <c r="C669" s="45">
        <v>30</v>
      </c>
      <c r="D669" s="45">
        <v>2.64</v>
      </c>
      <c r="E669" s="45">
        <v>0.48</v>
      </c>
      <c r="F669" s="45">
        <v>13.36</v>
      </c>
      <c r="G669" s="45">
        <v>69.599999999999994</v>
      </c>
      <c r="H669" s="45">
        <v>7.0000000000000007E-2</v>
      </c>
      <c r="I669" s="45">
        <v>0</v>
      </c>
      <c r="J669" s="45">
        <v>0</v>
      </c>
      <c r="K669" s="45">
        <v>0.56000000000000005</v>
      </c>
      <c r="L669" s="45">
        <v>14</v>
      </c>
      <c r="M669" s="45">
        <v>63.2</v>
      </c>
      <c r="N669" s="45">
        <v>18.8</v>
      </c>
      <c r="O669" s="45">
        <v>1.56</v>
      </c>
    </row>
    <row r="670" spans="1:48" s="7" customFormat="1" ht="15.75" x14ac:dyDescent="0.25">
      <c r="A670" s="44"/>
      <c r="B670" s="44" t="s">
        <v>377</v>
      </c>
      <c r="C670" s="44"/>
      <c r="D670" s="44">
        <f>D671+D678</f>
        <v>10.7</v>
      </c>
      <c r="E670" s="44">
        <f t="shared" ref="E670:O670" si="32">E671+E678</f>
        <v>17.399999999999999</v>
      </c>
      <c r="F670" s="44">
        <f t="shared" si="32"/>
        <v>36.5</v>
      </c>
      <c r="G670" s="44">
        <f t="shared" si="32"/>
        <v>442</v>
      </c>
      <c r="H670" s="44">
        <f t="shared" si="32"/>
        <v>7.0000000000000007E-2</v>
      </c>
      <c r="I670" s="44">
        <f t="shared" si="32"/>
        <v>8.1</v>
      </c>
      <c r="J670" s="44">
        <f t="shared" si="32"/>
        <v>0.14000000000000001</v>
      </c>
      <c r="K670" s="44">
        <f t="shared" si="32"/>
        <v>0.7</v>
      </c>
      <c r="L670" s="44">
        <f t="shared" si="32"/>
        <v>40</v>
      </c>
      <c r="M670" s="44">
        <f t="shared" si="32"/>
        <v>53</v>
      </c>
      <c r="N670" s="44">
        <f t="shared" si="32"/>
        <v>11</v>
      </c>
      <c r="O670" s="44">
        <f t="shared" si="32"/>
        <v>1.4</v>
      </c>
    </row>
    <row r="671" spans="1:48" ht="15.75" x14ac:dyDescent="0.25">
      <c r="A671" s="45"/>
      <c r="B671" s="44" t="s">
        <v>297</v>
      </c>
      <c r="C671" s="45">
        <v>100</v>
      </c>
      <c r="D671" s="45">
        <v>10.1</v>
      </c>
      <c r="E671" s="45">
        <v>17.2</v>
      </c>
      <c r="F671" s="45">
        <v>36.299999999999997</v>
      </c>
      <c r="G671" s="45">
        <v>306</v>
      </c>
      <c r="H671" s="45">
        <v>0.05</v>
      </c>
      <c r="I671" s="45">
        <v>0.1</v>
      </c>
      <c r="J671" s="45">
        <v>0.14000000000000001</v>
      </c>
      <c r="K671" s="45">
        <v>0.7</v>
      </c>
      <c r="L671" s="45">
        <v>20</v>
      </c>
      <c r="M671" s="45">
        <v>53</v>
      </c>
      <c r="N671" s="45">
        <v>11</v>
      </c>
      <c r="O671" s="45">
        <v>0.8</v>
      </c>
    </row>
    <row r="672" spans="1:48" ht="15.75" x14ac:dyDescent="0.25">
      <c r="A672" s="45"/>
      <c r="B672" s="45" t="s">
        <v>46</v>
      </c>
      <c r="C672" s="45">
        <v>45.38</v>
      </c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</row>
    <row r="673" spans="1:15" ht="15.75" x14ac:dyDescent="0.25">
      <c r="A673" s="45"/>
      <c r="B673" s="45" t="s">
        <v>22</v>
      </c>
      <c r="C673" s="45">
        <v>6.9</v>
      </c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</row>
    <row r="674" spans="1:15" ht="15.75" x14ac:dyDescent="0.25">
      <c r="A674" s="45"/>
      <c r="B674" s="45" t="s">
        <v>23</v>
      </c>
      <c r="C674" s="45">
        <v>5</v>
      </c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</row>
    <row r="675" spans="1:15" ht="15.75" x14ac:dyDescent="0.25">
      <c r="A675" s="45"/>
      <c r="B675" s="45" t="s">
        <v>96</v>
      </c>
      <c r="C675" s="45">
        <v>5</v>
      </c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</row>
    <row r="676" spans="1:15" ht="15.75" x14ac:dyDescent="0.25">
      <c r="A676" s="45"/>
      <c r="B676" s="45" t="s">
        <v>301</v>
      </c>
      <c r="C676" s="45">
        <v>1.5</v>
      </c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</row>
    <row r="677" spans="1:15" ht="15.75" x14ac:dyDescent="0.25">
      <c r="A677" s="45"/>
      <c r="B677" s="45" t="s">
        <v>94</v>
      </c>
      <c r="C677" s="45">
        <v>30</v>
      </c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</row>
    <row r="678" spans="1:15" ht="15.75" x14ac:dyDescent="0.25">
      <c r="A678" s="45"/>
      <c r="B678" s="44" t="s">
        <v>186</v>
      </c>
      <c r="C678" s="45">
        <v>200</v>
      </c>
      <c r="D678" s="45">
        <v>0.6</v>
      </c>
      <c r="E678" s="45">
        <v>0.2</v>
      </c>
      <c r="F678" s="45">
        <v>0.2</v>
      </c>
      <c r="G678" s="45">
        <v>136</v>
      </c>
      <c r="H678" s="45">
        <v>0.02</v>
      </c>
      <c r="I678" s="45">
        <v>8</v>
      </c>
      <c r="J678" s="45">
        <v>0</v>
      </c>
      <c r="K678" s="45">
        <v>0</v>
      </c>
      <c r="L678" s="45">
        <v>20</v>
      </c>
      <c r="M678" s="45">
        <v>0</v>
      </c>
      <c r="N678" s="45">
        <v>0</v>
      </c>
      <c r="O678" s="45">
        <v>0.6</v>
      </c>
    </row>
    <row r="679" spans="1:15" ht="15.75" x14ac:dyDescent="0.25">
      <c r="A679" s="45"/>
      <c r="B679" s="45" t="s">
        <v>187</v>
      </c>
      <c r="C679" s="45">
        <v>200</v>
      </c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</row>
    <row r="680" spans="1:15" s="7" customFormat="1" ht="15.75" x14ac:dyDescent="0.25">
      <c r="A680" s="44"/>
      <c r="B680" s="44" t="s">
        <v>66</v>
      </c>
      <c r="C680" s="44"/>
      <c r="D680" s="44">
        <f t="shared" ref="D680:O680" si="33">D597+D614+D639+D670</f>
        <v>86.339999999999989</v>
      </c>
      <c r="E680" s="44">
        <f t="shared" si="33"/>
        <v>94.144999999999982</v>
      </c>
      <c r="F680" s="44">
        <f t="shared" si="33"/>
        <v>301.50400000000002</v>
      </c>
      <c r="G680" s="44">
        <f t="shared" si="33"/>
        <v>2499.8850000000002</v>
      </c>
      <c r="H680" s="44">
        <f t="shared" si="33"/>
        <v>0.99099999999999988</v>
      </c>
      <c r="I680" s="44">
        <f t="shared" si="33"/>
        <v>45.859000000000002</v>
      </c>
      <c r="J680" s="44">
        <f t="shared" si="33"/>
        <v>56.14</v>
      </c>
      <c r="K680" s="44">
        <f t="shared" si="33"/>
        <v>22.351999999999997</v>
      </c>
      <c r="L680" s="44">
        <f t="shared" si="33"/>
        <v>512.73199999999997</v>
      </c>
      <c r="M680" s="44">
        <f t="shared" si="33"/>
        <v>1244.96</v>
      </c>
      <c r="N680" s="44">
        <f t="shared" si="33"/>
        <v>320.28499999999997</v>
      </c>
      <c r="O680" s="44">
        <f t="shared" si="33"/>
        <v>20.222999999999999</v>
      </c>
    </row>
    <row r="681" spans="1:15" ht="15.75" x14ac:dyDescent="0.2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</row>
    <row r="682" spans="1:15" ht="18" x14ac:dyDescent="0.25">
      <c r="A682" s="1" t="s">
        <v>188</v>
      </c>
    </row>
    <row r="684" spans="1:15" ht="15.75" x14ac:dyDescent="0.25">
      <c r="A684" s="2" t="s">
        <v>19</v>
      </c>
      <c r="B684" s="4"/>
      <c r="C684" s="4"/>
      <c r="D684" s="4"/>
      <c r="E684" s="4"/>
      <c r="F684" s="4"/>
      <c r="G684" s="5"/>
      <c r="H684" s="4"/>
      <c r="I684" s="4"/>
      <c r="J684" s="4"/>
      <c r="K684" s="4"/>
      <c r="L684" s="4"/>
      <c r="M684" s="4"/>
      <c r="N684" s="4"/>
      <c r="O684" s="4"/>
    </row>
    <row r="685" spans="1:15" ht="15" x14ac:dyDescent="0.2">
      <c r="A685" s="62" t="s">
        <v>17</v>
      </c>
      <c r="B685" s="61" t="s">
        <v>0</v>
      </c>
      <c r="C685" s="61" t="s">
        <v>1</v>
      </c>
      <c r="D685" s="63" t="s">
        <v>9</v>
      </c>
      <c r="E685" s="64"/>
      <c r="F685" s="65"/>
      <c r="G685" s="61" t="s">
        <v>10</v>
      </c>
      <c r="H685" s="61" t="s">
        <v>7</v>
      </c>
      <c r="I685" s="61"/>
      <c r="J685" s="61"/>
      <c r="K685" s="61"/>
      <c r="L685" s="61" t="s">
        <v>8</v>
      </c>
      <c r="M685" s="61"/>
      <c r="N685" s="61"/>
      <c r="O685" s="61"/>
    </row>
    <row r="686" spans="1:15" ht="30" x14ac:dyDescent="0.2">
      <c r="A686" s="62"/>
      <c r="B686" s="61"/>
      <c r="C686" s="61"/>
      <c r="D686" s="41" t="s">
        <v>2</v>
      </c>
      <c r="E686" s="42" t="s">
        <v>3</v>
      </c>
      <c r="F686" s="42" t="s">
        <v>4</v>
      </c>
      <c r="G686" s="61"/>
      <c r="H686" s="42" t="s">
        <v>11</v>
      </c>
      <c r="I686" s="42" t="s">
        <v>12</v>
      </c>
      <c r="J686" s="42" t="s">
        <v>13</v>
      </c>
      <c r="K686" s="42" t="s">
        <v>5</v>
      </c>
      <c r="L686" s="43" t="s">
        <v>14</v>
      </c>
      <c r="M686" s="42" t="s">
        <v>15</v>
      </c>
      <c r="N686" s="42" t="s">
        <v>6</v>
      </c>
      <c r="O686" s="42" t="s">
        <v>16</v>
      </c>
    </row>
    <row r="687" spans="1:15" ht="15.75" x14ac:dyDescent="0.25">
      <c r="A687" s="44"/>
      <c r="B687" s="44" t="s">
        <v>344</v>
      </c>
      <c r="C687" s="44"/>
      <c r="D687" s="44">
        <f t="shared" ref="D687:O687" si="34">D688+D698+D701+D706+D707</f>
        <v>39.08</v>
      </c>
      <c r="E687" s="44">
        <f t="shared" si="34"/>
        <v>11.31</v>
      </c>
      <c r="F687" s="44">
        <f t="shared" si="34"/>
        <v>91.160000000000011</v>
      </c>
      <c r="G687" s="44">
        <f t="shared" si="34"/>
        <v>623.7700000000001</v>
      </c>
      <c r="H687" s="44">
        <f t="shared" si="34"/>
        <v>0.25</v>
      </c>
      <c r="I687" s="44">
        <f t="shared" si="34"/>
        <v>0.96</v>
      </c>
      <c r="J687" s="44">
        <f t="shared" si="34"/>
        <v>74</v>
      </c>
      <c r="K687" s="44">
        <f t="shared" si="34"/>
        <v>1.51</v>
      </c>
      <c r="L687" s="44">
        <f t="shared" si="34"/>
        <v>362.88</v>
      </c>
      <c r="M687" s="44">
        <f t="shared" si="34"/>
        <v>487.03</v>
      </c>
      <c r="N687" s="44">
        <f t="shared" si="34"/>
        <v>77.14</v>
      </c>
      <c r="O687" s="44">
        <f t="shared" si="34"/>
        <v>4.16</v>
      </c>
    </row>
    <row r="688" spans="1:15" ht="15.75" x14ac:dyDescent="0.25">
      <c r="A688" s="45">
        <v>279</v>
      </c>
      <c r="B688" s="44" t="s">
        <v>91</v>
      </c>
      <c r="C688" s="45">
        <v>150</v>
      </c>
      <c r="D688" s="45">
        <v>31.6</v>
      </c>
      <c r="E688" s="45">
        <v>9.1999999999999993</v>
      </c>
      <c r="F688" s="45">
        <v>25.3</v>
      </c>
      <c r="G688" s="45">
        <v>310</v>
      </c>
      <c r="H688" s="45">
        <v>0.12</v>
      </c>
      <c r="I688" s="45">
        <v>0.6</v>
      </c>
      <c r="J688" s="45">
        <v>64.5</v>
      </c>
      <c r="K688" s="45">
        <v>0.3</v>
      </c>
      <c r="L688" s="45">
        <v>275.2</v>
      </c>
      <c r="M688" s="45">
        <v>346.7</v>
      </c>
      <c r="N688" s="45">
        <v>38.4</v>
      </c>
      <c r="O688" s="45">
        <v>1.1100000000000001</v>
      </c>
    </row>
    <row r="689" spans="1:15" ht="15.75" x14ac:dyDescent="0.25">
      <c r="A689" s="45"/>
      <c r="B689" s="45" t="s">
        <v>92</v>
      </c>
      <c r="C689" s="45">
        <v>10</v>
      </c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</row>
    <row r="690" spans="1:15" ht="15.75" x14ac:dyDescent="0.25">
      <c r="A690" s="45"/>
      <c r="B690" s="45" t="s">
        <v>93</v>
      </c>
      <c r="C690" s="45">
        <v>5</v>
      </c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</row>
    <row r="691" spans="1:15" ht="15.75" x14ac:dyDescent="0.25">
      <c r="A691" s="45"/>
      <c r="B691" s="45" t="s">
        <v>22</v>
      </c>
      <c r="C691" s="45">
        <v>10</v>
      </c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</row>
    <row r="692" spans="1:15" ht="15.75" x14ac:dyDescent="0.25">
      <c r="A692" s="45"/>
      <c r="B692" s="45" t="s">
        <v>25</v>
      </c>
      <c r="C692" s="45">
        <v>39</v>
      </c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</row>
    <row r="693" spans="1:15" ht="15.75" x14ac:dyDescent="0.25">
      <c r="A693" s="45"/>
      <c r="B693" s="45" t="s">
        <v>94</v>
      </c>
      <c r="C693" s="45">
        <v>140</v>
      </c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</row>
    <row r="694" spans="1:15" ht="15.75" x14ac:dyDescent="0.25">
      <c r="A694" s="45"/>
      <c r="B694" s="45" t="s">
        <v>47</v>
      </c>
      <c r="C694" s="45">
        <v>1.5</v>
      </c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</row>
    <row r="695" spans="1:15" ht="15.75" x14ac:dyDescent="0.25">
      <c r="A695" s="45"/>
      <c r="B695" s="45" t="s">
        <v>35</v>
      </c>
      <c r="C695" s="45">
        <v>5</v>
      </c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</row>
    <row r="696" spans="1:15" ht="15.75" x14ac:dyDescent="0.25">
      <c r="A696" s="45"/>
      <c r="B696" s="45" t="s">
        <v>95</v>
      </c>
      <c r="C696" s="45">
        <v>1.4999999999999999E-2</v>
      </c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</row>
    <row r="697" spans="1:15" ht="15.75" x14ac:dyDescent="0.25">
      <c r="A697" s="45"/>
      <c r="B697" s="45" t="s">
        <v>96</v>
      </c>
      <c r="C697" s="45">
        <v>4</v>
      </c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</row>
    <row r="698" spans="1:15" ht="15.75" x14ac:dyDescent="0.25">
      <c r="A698" s="45">
        <v>436</v>
      </c>
      <c r="B698" s="44" t="s">
        <v>189</v>
      </c>
      <c r="C698" s="45">
        <v>35</v>
      </c>
      <c r="D698" s="45">
        <v>0.2</v>
      </c>
      <c r="E698" s="45">
        <v>0.01</v>
      </c>
      <c r="F698" s="45">
        <v>21.32</v>
      </c>
      <c r="G698" s="45">
        <v>86.17</v>
      </c>
      <c r="H698" s="45">
        <v>0</v>
      </c>
      <c r="I698" s="45">
        <v>0.06</v>
      </c>
      <c r="J698" s="45">
        <v>0</v>
      </c>
      <c r="K698" s="45">
        <v>0.21</v>
      </c>
      <c r="L698" s="45">
        <v>6.58</v>
      </c>
      <c r="M698" s="45">
        <v>5.23</v>
      </c>
      <c r="N698" s="45">
        <v>3.84</v>
      </c>
      <c r="O698" s="45">
        <v>0.18</v>
      </c>
    </row>
    <row r="699" spans="1:15" ht="15.75" x14ac:dyDescent="0.25">
      <c r="A699" s="45"/>
      <c r="B699" s="45" t="s">
        <v>22</v>
      </c>
      <c r="C699" s="45">
        <v>21</v>
      </c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</row>
    <row r="700" spans="1:15" ht="31.5" x14ac:dyDescent="0.25">
      <c r="A700" s="45"/>
      <c r="B700" s="45" t="s">
        <v>190</v>
      </c>
      <c r="C700" s="45">
        <v>3.85</v>
      </c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</row>
    <row r="701" spans="1:15" ht="15.75" x14ac:dyDescent="0.25">
      <c r="A701" s="45">
        <v>460</v>
      </c>
      <c r="B701" s="44" t="s">
        <v>144</v>
      </c>
      <c r="C701" s="45">
        <v>200</v>
      </c>
      <c r="D701" s="45">
        <v>1.6</v>
      </c>
      <c r="E701" s="45">
        <v>1.3</v>
      </c>
      <c r="F701" s="45">
        <v>11.5</v>
      </c>
      <c r="G701" s="45">
        <v>64</v>
      </c>
      <c r="H701" s="45">
        <v>0.02</v>
      </c>
      <c r="I701" s="45">
        <v>0.3</v>
      </c>
      <c r="J701" s="45">
        <v>9.5</v>
      </c>
      <c r="K701" s="45">
        <v>0</v>
      </c>
      <c r="L701" s="45">
        <v>59.1</v>
      </c>
      <c r="M701" s="45">
        <v>45.9</v>
      </c>
      <c r="N701" s="45">
        <v>10.5</v>
      </c>
      <c r="O701" s="45">
        <v>0.87</v>
      </c>
    </row>
    <row r="702" spans="1:15" ht="15.75" x14ac:dyDescent="0.25">
      <c r="A702" s="45"/>
      <c r="B702" s="45" t="s">
        <v>25</v>
      </c>
      <c r="C702" s="45">
        <v>50</v>
      </c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</row>
    <row r="703" spans="1:15" ht="15.75" x14ac:dyDescent="0.25">
      <c r="A703" s="45"/>
      <c r="B703" s="45" t="s">
        <v>22</v>
      </c>
      <c r="C703" s="45">
        <v>10</v>
      </c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</row>
    <row r="704" spans="1:15" ht="15.75" x14ac:dyDescent="0.25">
      <c r="A704" s="45"/>
      <c r="B704" s="45" t="s">
        <v>71</v>
      </c>
      <c r="C704" s="45">
        <v>1</v>
      </c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</row>
    <row r="705" spans="1:15" ht="15.75" x14ac:dyDescent="0.25">
      <c r="A705" s="45"/>
      <c r="B705" s="44" t="s">
        <v>231</v>
      </c>
      <c r="C705" s="45">
        <v>200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</row>
    <row r="706" spans="1:15" ht="15.75" x14ac:dyDescent="0.25">
      <c r="A706" s="45"/>
      <c r="B706" s="44" t="s">
        <v>107</v>
      </c>
      <c r="C706" s="45">
        <v>40</v>
      </c>
      <c r="D706" s="45">
        <v>3.04</v>
      </c>
      <c r="E706" s="45">
        <v>0.32</v>
      </c>
      <c r="F706" s="45">
        <v>19.68</v>
      </c>
      <c r="G706" s="45">
        <v>94</v>
      </c>
      <c r="H706" s="45">
        <v>0.04</v>
      </c>
      <c r="I706" s="45">
        <v>0</v>
      </c>
      <c r="J706" s="45">
        <v>0</v>
      </c>
      <c r="K706" s="45">
        <v>0.44</v>
      </c>
      <c r="L706" s="45">
        <v>8</v>
      </c>
      <c r="M706" s="45">
        <v>26</v>
      </c>
      <c r="N706" s="45">
        <v>5.6</v>
      </c>
      <c r="O706" s="45">
        <v>0.44</v>
      </c>
    </row>
    <row r="707" spans="1:15" ht="15.75" x14ac:dyDescent="0.25">
      <c r="A707" s="45"/>
      <c r="B707" s="44" t="s">
        <v>73</v>
      </c>
      <c r="C707" s="45">
        <v>30</v>
      </c>
      <c r="D707" s="45">
        <v>2.64</v>
      </c>
      <c r="E707" s="45">
        <v>0.48</v>
      </c>
      <c r="F707" s="45">
        <v>13.36</v>
      </c>
      <c r="G707" s="45">
        <v>69.599999999999994</v>
      </c>
      <c r="H707" s="45">
        <v>7.0000000000000007E-2</v>
      </c>
      <c r="I707" s="45">
        <v>0</v>
      </c>
      <c r="J707" s="45">
        <v>0</v>
      </c>
      <c r="K707" s="45">
        <v>0.56000000000000005</v>
      </c>
      <c r="L707" s="45">
        <v>14</v>
      </c>
      <c r="M707" s="45">
        <v>63.2</v>
      </c>
      <c r="N707" s="45">
        <v>18.8</v>
      </c>
      <c r="O707" s="45">
        <v>1.56</v>
      </c>
    </row>
    <row r="708" spans="1:15" s="7" customFormat="1" ht="15.75" x14ac:dyDescent="0.25">
      <c r="A708" s="44"/>
      <c r="B708" s="44" t="s">
        <v>354</v>
      </c>
      <c r="C708" s="44"/>
      <c r="D708" s="44">
        <f t="shared" ref="D708:O708" si="35">D709+D711+D717+D725+D729+D730</f>
        <v>32.204999999999998</v>
      </c>
      <c r="E708" s="44">
        <f t="shared" si="35"/>
        <v>24.905000000000001</v>
      </c>
      <c r="F708" s="44">
        <f t="shared" si="35"/>
        <v>81.89</v>
      </c>
      <c r="G708" s="44">
        <f t="shared" si="35"/>
        <v>681.9</v>
      </c>
      <c r="H708" s="44">
        <f t="shared" si="35"/>
        <v>0.46</v>
      </c>
      <c r="I708" s="44">
        <f t="shared" si="35"/>
        <v>27.66</v>
      </c>
      <c r="J708" s="44">
        <f t="shared" si="35"/>
        <v>13</v>
      </c>
      <c r="K708" s="44">
        <f t="shared" si="35"/>
        <v>5.99</v>
      </c>
      <c r="L708" s="44">
        <f t="shared" si="35"/>
        <v>129.19999999999999</v>
      </c>
      <c r="M708" s="44">
        <f t="shared" si="35"/>
        <v>508.92</v>
      </c>
      <c r="N708" s="44">
        <f t="shared" si="35"/>
        <v>130.995</v>
      </c>
      <c r="O708" s="44">
        <f t="shared" si="35"/>
        <v>8.4700000000000006</v>
      </c>
    </row>
    <row r="709" spans="1:15" ht="15.75" x14ac:dyDescent="0.25">
      <c r="A709" s="45">
        <v>148</v>
      </c>
      <c r="B709" s="44" t="s">
        <v>191</v>
      </c>
      <c r="C709" s="45">
        <v>60</v>
      </c>
      <c r="D709" s="45">
        <v>0.8</v>
      </c>
      <c r="E709" s="45">
        <v>0.1</v>
      </c>
      <c r="F709" s="45">
        <v>2.5</v>
      </c>
      <c r="G709" s="45">
        <v>14</v>
      </c>
      <c r="H709" s="45">
        <v>0.03</v>
      </c>
      <c r="I709" s="45">
        <v>10</v>
      </c>
      <c r="J709" s="45">
        <v>0</v>
      </c>
      <c r="K709" s="45">
        <v>0.1</v>
      </c>
      <c r="L709" s="45">
        <v>23</v>
      </c>
      <c r="M709" s="45">
        <v>42</v>
      </c>
      <c r="N709" s="45">
        <v>14</v>
      </c>
      <c r="O709" s="45">
        <v>0.6</v>
      </c>
    </row>
    <row r="710" spans="1:15" ht="15.75" x14ac:dyDescent="0.25">
      <c r="A710" s="45"/>
      <c r="B710" s="45" t="s">
        <v>131</v>
      </c>
      <c r="C710" s="45">
        <v>60</v>
      </c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</row>
    <row r="711" spans="1:15" ht="15.75" x14ac:dyDescent="0.25">
      <c r="A711" s="45">
        <v>121</v>
      </c>
      <c r="B711" s="44" t="s">
        <v>192</v>
      </c>
      <c r="C711" s="45">
        <v>250</v>
      </c>
      <c r="D711" s="45">
        <f>27.7/1000*250</f>
        <v>6.9249999999999998</v>
      </c>
      <c r="E711" s="45">
        <f>9.3/1000*250</f>
        <v>2.3250000000000002</v>
      </c>
      <c r="F711" s="45">
        <f>49/1000*250</f>
        <v>12.25</v>
      </c>
      <c r="G711" s="45">
        <f>390/1000*250</f>
        <v>97.5</v>
      </c>
      <c r="H711" s="45">
        <f>0.56/1000*250</f>
        <v>0.14000000000000001</v>
      </c>
      <c r="I711" s="45">
        <f>37.6/1000*250</f>
        <v>9.4</v>
      </c>
      <c r="J711" s="45">
        <f>52/1000*250</f>
        <v>13</v>
      </c>
      <c r="K711" s="45">
        <v>0.4</v>
      </c>
      <c r="L711" s="45">
        <f>147.8/1000*250</f>
        <v>36.950000000000003</v>
      </c>
      <c r="M711" s="45">
        <v>130.52000000000001</v>
      </c>
      <c r="N711" s="45">
        <f>138.3/1000*250</f>
        <v>34.575000000000003</v>
      </c>
      <c r="O711" s="45">
        <f>4.36/1000*250</f>
        <v>1.0900000000000001</v>
      </c>
    </row>
    <row r="712" spans="1:15" ht="15.75" x14ac:dyDescent="0.25">
      <c r="A712" s="45"/>
      <c r="B712" s="45" t="s">
        <v>23</v>
      </c>
      <c r="C712" s="45">
        <f>10/1000*250</f>
        <v>2.5</v>
      </c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</row>
    <row r="713" spans="1:15" ht="15.75" x14ac:dyDescent="0.25">
      <c r="A713" s="45"/>
      <c r="B713" s="45" t="s">
        <v>283</v>
      </c>
      <c r="C713" s="45">
        <f>120.4/1000*250</f>
        <v>30.1</v>
      </c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</row>
    <row r="714" spans="1:15" ht="15.75" x14ac:dyDescent="0.25">
      <c r="A714" s="45"/>
      <c r="B714" s="45" t="s">
        <v>47</v>
      </c>
      <c r="C714" s="45">
        <f>8/1000*250</f>
        <v>2</v>
      </c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</row>
    <row r="715" spans="1:15" ht="15.75" x14ac:dyDescent="0.25">
      <c r="A715" s="45"/>
      <c r="B715" s="45" t="s">
        <v>36</v>
      </c>
      <c r="C715" s="45">
        <f>50.4/1000*250</f>
        <v>12.6</v>
      </c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</row>
    <row r="716" spans="1:15" ht="15.75" x14ac:dyDescent="0.25">
      <c r="A716" s="45"/>
      <c r="B716" s="45" t="s">
        <v>77</v>
      </c>
      <c r="C716" s="45">
        <f>345/1000*250</f>
        <v>86.25</v>
      </c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</row>
    <row r="717" spans="1:15" ht="15.75" x14ac:dyDescent="0.25">
      <c r="A717" s="45">
        <v>325</v>
      </c>
      <c r="B717" s="44" t="s">
        <v>193</v>
      </c>
      <c r="C717" s="45">
        <v>230</v>
      </c>
      <c r="D717" s="45">
        <v>18.5</v>
      </c>
      <c r="E717" s="45">
        <v>21.48</v>
      </c>
      <c r="F717" s="45">
        <v>19.899999999999999</v>
      </c>
      <c r="G717" s="45">
        <v>346.8</v>
      </c>
      <c r="H717" s="45">
        <v>0.16</v>
      </c>
      <c r="I717" s="45">
        <v>4.96</v>
      </c>
      <c r="J717" s="45">
        <v>0</v>
      </c>
      <c r="K717" s="45">
        <v>4.3899999999999997</v>
      </c>
      <c r="L717" s="45">
        <v>33.75</v>
      </c>
      <c r="M717" s="45">
        <v>239.2</v>
      </c>
      <c r="N717" s="45">
        <v>52.12</v>
      </c>
      <c r="O717" s="45">
        <v>3.62</v>
      </c>
    </row>
    <row r="718" spans="1:15" ht="15.75" x14ac:dyDescent="0.25">
      <c r="A718" s="45"/>
      <c r="B718" s="45" t="s">
        <v>79</v>
      </c>
      <c r="C718" s="45">
        <v>84.39</v>
      </c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</row>
    <row r="719" spans="1:15" ht="15.75" x14ac:dyDescent="0.25">
      <c r="A719" s="45"/>
      <c r="B719" s="45" t="s">
        <v>34</v>
      </c>
      <c r="C719" s="45">
        <v>10.63</v>
      </c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</row>
    <row r="720" spans="1:15" ht="15.75" x14ac:dyDescent="0.25">
      <c r="A720" s="45"/>
      <c r="B720" s="45" t="s">
        <v>41</v>
      </c>
      <c r="C720" s="45">
        <v>8.51</v>
      </c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</row>
    <row r="721" spans="1:15" ht="15.75" x14ac:dyDescent="0.25">
      <c r="A721" s="45"/>
      <c r="B721" s="45" t="s">
        <v>46</v>
      </c>
      <c r="C721" s="45">
        <v>3.54</v>
      </c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</row>
    <row r="722" spans="1:15" ht="15.75" x14ac:dyDescent="0.25">
      <c r="A722" s="45"/>
      <c r="B722" s="45" t="s">
        <v>54</v>
      </c>
      <c r="C722" s="45">
        <v>21.06</v>
      </c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</row>
    <row r="723" spans="1:15" ht="15.75" x14ac:dyDescent="0.25">
      <c r="A723" s="45"/>
      <c r="B723" s="45" t="s">
        <v>36</v>
      </c>
      <c r="C723" s="45">
        <v>17.78</v>
      </c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</row>
    <row r="724" spans="1:15" ht="15.75" x14ac:dyDescent="0.25">
      <c r="A724" s="45"/>
      <c r="B724" s="45" t="s">
        <v>77</v>
      </c>
      <c r="C724" s="45">
        <v>141.9</v>
      </c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</row>
    <row r="725" spans="1:15" ht="15.75" x14ac:dyDescent="0.25">
      <c r="A725" s="45">
        <v>488</v>
      </c>
      <c r="B725" s="44" t="s">
        <v>326</v>
      </c>
      <c r="C725" s="45">
        <v>200</v>
      </c>
      <c r="D725" s="45">
        <v>0.3</v>
      </c>
      <c r="E725" s="45">
        <v>0.2</v>
      </c>
      <c r="F725" s="45">
        <v>14.2</v>
      </c>
      <c r="G725" s="45">
        <v>60</v>
      </c>
      <c r="H725" s="45">
        <v>0.02</v>
      </c>
      <c r="I725" s="45">
        <v>3.3</v>
      </c>
      <c r="J725" s="45">
        <v>0</v>
      </c>
      <c r="K725" s="45">
        <v>0.1</v>
      </c>
      <c r="L725" s="45">
        <v>13.5</v>
      </c>
      <c r="M725" s="45">
        <v>8</v>
      </c>
      <c r="N725" s="45">
        <v>5.9</v>
      </c>
      <c r="O725" s="45">
        <v>1.1599999999999999</v>
      </c>
    </row>
    <row r="726" spans="1:15" ht="15.75" x14ac:dyDescent="0.25">
      <c r="A726" s="45"/>
      <c r="B726" s="45" t="s">
        <v>62</v>
      </c>
      <c r="C726" s="45">
        <v>36.9</v>
      </c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</row>
    <row r="727" spans="1:15" ht="15.75" x14ac:dyDescent="0.25">
      <c r="A727" s="45"/>
      <c r="B727" s="45" t="s">
        <v>63</v>
      </c>
      <c r="C727" s="45">
        <v>39.5</v>
      </c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</row>
    <row r="728" spans="1:15" ht="15.75" x14ac:dyDescent="0.25">
      <c r="A728" s="45"/>
      <c r="B728" s="45" t="s">
        <v>22</v>
      </c>
      <c r="C728" s="45">
        <v>10</v>
      </c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</row>
    <row r="729" spans="1:15" ht="15.75" x14ac:dyDescent="0.25">
      <c r="A729" s="45"/>
      <c r="B729" s="44" t="s">
        <v>107</v>
      </c>
      <c r="C729" s="45">
        <v>40</v>
      </c>
      <c r="D729" s="45">
        <v>3.04</v>
      </c>
      <c r="E729" s="45">
        <v>0.32</v>
      </c>
      <c r="F729" s="45">
        <v>19.68</v>
      </c>
      <c r="G729" s="45">
        <v>94</v>
      </c>
      <c r="H729" s="45">
        <v>0.04</v>
      </c>
      <c r="I729" s="45">
        <v>0</v>
      </c>
      <c r="J729" s="45">
        <v>0</v>
      </c>
      <c r="K729" s="45">
        <v>0.44</v>
      </c>
      <c r="L729" s="45">
        <v>8</v>
      </c>
      <c r="M729" s="45">
        <v>26</v>
      </c>
      <c r="N729" s="45">
        <v>5.6</v>
      </c>
      <c r="O729" s="45">
        <v>0.44</v>
      </c>
    </row>
    <row r="730" spans="1:15" ht="15.75" x14ac:dyDescent="0.25">
      <c r="A730" s="45"/>
      <c r="B730" s="44" t="s">
        <v>73</v>
      </c>
      <c r="C730" s="45">
        <v>30</v>
      </c>
      <c r="D730" s="45">
        <v>2.64</v>
      </c>
      <c r="E730" s="45">
        <v>0.48</v>
      </c>
      <c r="F730" s="45">
        <v>13.36</v>
      </c>
      <c r="G730" s="45">
        <v>69.599999999999994</v>
      </c>
      <c r="H730" s="45">
        <v>7.0000000000000007E-2</v>
      </c>
      <c r="I730" s="45">
        <v>0</v>
      </c>
      <c r="J730" s="45">
        <v>0</v>
      </c>
      <c r="K730" s="45">
        <v>0.56000000000000005</v>
      </c>
      <c r="L730" s="45">
        <v>14</v>
      </c>
      <c r="M730" s="45">
        <v>63.2</v>
      </c>
      <c r="N730" s="45">
        <v>18.8</v>
      </c>
      <c r="O730" s="45">
        <v>1.56</v>
      </c>
    </row>
    <row r="731" spans="1:15" s="7" customFormat="1" ht="15.75" x14ac:dyDescent="0.25">
      <c r="A731" s="44"/>
      <c r="B731" s="44" t="s">
        <v>379</v>
      </c>
      <c r="C731" s="44"/>
      <c r="D731" s="48">
        <f>D732+D739+D745+D749+D753+D754+D755</f>
        <v>26.705000000000002</v>
      </c>
      <c r="E731" s="48">
        <f t="shared" ref="E731:O731" si="36">E732+E739+E745+E749+E753+E754+E755</f>
        <v>19.535</v>
      </c>
      <c r="F731" s="48">
        <f t="shared" si="36"/>
        <v>107.895</v>
      </c>
      <c r="G731" s="48">
        <f t="shared" si="36"/>
        <v>715.66</v>
      </c>
      <c r="H731" s="48">
        <f t="shared" si="36"/>
        <v>0.36749999999999999</v>
      </c>
      <c r="I731" s="48">
        <f t="shared" si="36"/>
        <v>8.5250000000000004</v>
      </c>
      <c r="J731" s="48">
        <f t="shared" si="36"/>
        <v>55.42</v>
      </c>
      <c r="K731" s="48">
        <f t="shared" si="36"/>
        <v>4.05</v>
      </c>
      <c r="L731" s="48">
        <f t="shared" si="36"/>
        <v>125.67500000000001</v>
      </c>
      <c r="M731" s="48">
        <f t="shared" si="36"/>
        <v>477.05500000000001</v>
      </c>
      <c r="N731" s="48">
        <f t="shared" si="36"/>
        <v>105.715</v>
      </c>
      <c r="O731" s="48">
        <f t="shared" si="36"/>
        <v>6.7674999999999992</v>
      </c>
    </row>
    <row r="732" spans="1:15" ht="31.5" x14ac:dyDescent="0.25">
      <c r="A732" s="45">
        <v>116</v>
      </c>
      <c r="B732" s="44" t="s">
        <v>194</v>
      </c>
      <c r="C732" s="45">
        <v>250</v>
      </c>
      <c r="D732" s="45">
        <f>10.7/1000*250</f>
        <v>2.6749999999999998</v>
      </c>
      <c r="E732" s="45">
        <v>2.57</v>
      </c>
      <c r="F732" s="45">
        <v>16.75</v>
      </c>
      <c r="G732" s="45">
        <v>100.75</v>
      </c>
      <c r="H732" s="45">
        <f>0.42/1000*250</f>
        <v>0.105</v>
      </c>
      <c r="I732" s="45">
        <f>31.1/1000*250</f>
        <v>7.7750000000000004</v>
      </c>
      <c r="J732" s="45">
        <v>1.7</v>
      </c>
      <c r="K732" s="45">
        <v>1.37</v>
      </c>
      <c r="L732" s="45">
        <f>91.6/1000*250</f>
        <v>22.9</v>
      </c>
      <c r="M732" s="45">
        <v>66.400000000000006</v>
      </c>
      <c r="N732" s="45">
        <v>24.32</v>
      </c>
      <c r="O732" s="45">
        <v>1.08</v>
      </c>
    </row>
    <row r="733" spans="1:15" ht="15.75" x14ac:dyDescent="0.25">
      <c r="A733" s="45"/>
      <c r="B733" s="45" t="s">
        <v>36</v>
      </c>
      <c r="C733" s="45">
        <v>10.07</v>
      </c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</row>
    <row r="734" spans="1:15" ht="15.75" x14ac:dyDescent="0.25">
      <c r="A734" s="45"/>
      <c r="B734" s="45" t="s">
        <v>37</v>
      </c>
      <c r="C734" s="45">
        <v>9.75</v>
      </c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</row>
    <row r="735" spans="1:15" ht="15.75" x14ac:dyDescent="0.25">
      <c r="A735" s="45"/>
      <c r="B735" s="45" t="s">
        <v>47</v>
      </c>
      <c r="C735" s="45">
        <v>2</v>
      </c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</row>
    <row r="736" spans="1:15" ht="15.75" x14ac:dyDescent="0.25">
      <c r="A736" s="45"/>
      <c r="B736" s="45" t="s">
        <v>123</v>
      </c>
      <c r="C736" s="45">
        <v>12.5</v>
      </c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</row>
    <row r="737" spans="1:15" ht="15.75" x14ac:dyDescent="0.25">
      <c r="A737" s="45"/>
      <c r="B737" s="45" t="s">
        <v>77</v>
      </c>
      <c r="C737" s="45">
        <v>50.05</v>
      </c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</row>
    <row r="738" spans="1:15" ht="15.75" x14ac:dyDescent="0.25">
      <c r="A738" s="45"/>
      <c r="B738" s="45" t="s">
        <v>41</v>
      </c>
      <c r="C738" s="45">
        <v>2.5</v>
      </c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</row>
    <row r="739" spans="1:15" ht="15.75" x14ac:dyDescent="0.25">
      <c r="A739" s="45">
        <v>344</v>
      </c>
      <c r="B739" s="44" t="s">
        <v>195</v>
      </c>
      <c r="C739" s="45">
        <v>80</v>
      </c>
      <c r="D739" s="47">
        <f>15.6/100*80</f>
        <v>12.48</v>
      </c>
      <c r="E739" s="45">
        <f>12.4/100*80</f>
        <v>9.92</v>
      </c>
      <c r="F739" s="45">
        <f>6.6/100*80</f>
        <v>5.28</v>
      </c>
      <c r="G739" s="45">
        <f>200/100*80</f>
        <v>160</v>
      </c>
      <c r="H739" s="45">
        <f>0.06/100*80</f>
        <v>4.7999999999999994E-2</v>
      </c>
      <c r="I739" s="45">
        <v>0</v>
      </c>
      <c r="J739" s="45">
        <f>28.4/100*80</f>
        <v>22.72</v>
      </c>
      <c r="K739" s="45">
        <f>0.5/100*80</f>
        <v>0.4</v>
      </c>
      <c r="L739" s="45">
        <f>17.1/100*80</f>
        <v>13.680000000000001</v>
      </c>
      <c r="M739" s="45">
        <f>165.4/100*80</f>
        <v>132.32000000000002</v>
      </c>
      <c r="N739" s="45">
        <f>19.3/100*80</f>
        <v>15.440000000000001</v>
      </c>
      <c r="O739" s="45">
        <f>2.43/100*80</f>
        <v>1.9440000000000002</v>
      </c>
    </row>
    <row r="740" spans="1:15" ht="15.75" x14ac:dyDescent="0.25">
      <c r="A740" s="45"/>
      <c r="B740" s="45" t="s">
        <v>41</v>
      </c>
      <c r="C740" s="45">
        <f>2/100*80</f>
        <v>1.6</v>
      </c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</row>
    <row r="741" spans="1:15" ht="15.75" x14ac:dyDescent="0.25">
      <c r="A741" s="45"/>
      <c r="B741" s="45" t="s">
        <v>133</v>
      </c>
      <c r="C741" s="45">
        <f>75/100*80</f>
        <v>60</v>
      </c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</row>
    <row r="742" spans="1:15" ht="15.75" x14ac:dyDescent="0.25">
      <c r="A742" s="45"/>
      <c r="B742" s="45" t="s">
        <v>47</v>
      </c>
      <c r="C742" s="45">
        <f>0.4/100*80</f>
        <v>0.32</v>
      </c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</row>
    <row r="743" spans="1:15" ht="15.75" x14ac:dyDescent="0.25">
      <c r="A743" s="45"/>
      <c r="B743" s="45" t="s">
        <v>96</v>
      </c>
      <c r="C743" s="45">
        <f>11.3/100*80</f>
        <v>9.0400000000000009</v>
      </c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</row>
    <row r="744" spans="1:15" ht="15.75" x14ac:dyDescent="0.25">
      <c r="A744" s="45"/>
      <c r="B744" s="45" t="s">
        <v>27</v>
      </c>
      <c r="C744" s="45">
        <f>14/100*80</f>
        <v>11.200000000000001</v>
      </c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</row>
    <row r="745" spans="1:15" ht="15.75" x14ac:dyDescent="0.25">
      <c r="A745" s="45">
        <v>208</v>
      </c>
      <c r="B745" s="44" t="s">
        <v>196</v>
      </c>
      <c r="C745" s="45">
        <v>150</v>
      </c>
      <c r="D745" s="45">
        <f>32.6/1000*150</f>
        <v>4.8900000000000006</v>
      </c>
      <c r="E745" s="45">
        <f>33.3/1000*150</f>
        <v>4.9949999999999992</v>
      </c>
      <c r="F745" s="45">
        <f>207.5/1000*150</f>
        <v>31.125</v>
      </c>
      <c r="G745" s="45">
        <f>1260/1000*150</f>
        <v>189</v>
      </c>
      <c r="H745" s="45">
        <f>0.63/1000*150</f>
        <v>9.4500000000000001E-2</v>
      </c>
      <c r="I745" s="45">
        <v>0</v>
      </c>
      <c r="J745" s="45">
        <f>160/1000*150</f>
        <v>24</v>
      </c>
      <c r="K745" s="45">
        <f>5.4/1000*150</f>
        <v>0.81</v>
      </c>
      <c r="L745" s="45">
        <f>293.1/1000*150</f>
        <v>43.965000000000003</v>
      </c>
      <c r="M745" s="45">
        <f>1125.1/1000*150</f>
        <v>168.76499999999999</v>
      </c>
      <c r="N745" s="45">
        <f>163.1/1000*150</f>
        <v>24.465</v>
      </c>
      <c r="O745" s="45">
        <f>6.09/1000*150</f>
        <v>0.91349999999999998</v>
      </c>
    </row>
    <row r="746" spans="1:15" ht="15.75" x14ac:dyDescent="0.25">
      <c r="A746" s="45"/>
      <c r="B746" s="45" t="s">
        <v>152</v>
      </c>
      <c r="C746" s="45">
        <f>329/1000*150</f>
        <v>49.35</v>
      </c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</row>
    <row r="747" spans="1:15" ht="15.75" x14ac:dyDescent="0.25">
      <c r="A747" s="45"/>
      <c r="B747" s="45" t="s">
        <v>47</v>
      </c>
      <c r="C747" s="45">
        <v>1</v>
      </c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</row>
    <row r="748" spans="1:15" ht="15.75" x14ac:dyDescent="0.25">
      <c r="A748" s="45"/>
      <c r="B748" s="45" t="s">
        <v>23</v>
      </c>
      <c r="C748" s="45">
        <f>40/1000*150</f>
        <v>6</v>
      </c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</row>
    <row r="749" spans="1:15" ht="15.75" x14ac:dyDescent="0.25">
      <c r="A749" s="45">
        <v>495</v>
      </c>
      <c r="B749" s="44" t="s">
        <v>323</v>
      </c>
      <c r="C749" s="45">
        <v>200</v>
      </c>
      <c r="D749" s="45">
        <v>0.6</v>
      </c>
      <c r="E749" s="45">
        <v>0.1</v>
      </c>
      <c r="F749" s="45">
        <v>20.100000000000001</v>
      </c>
      <c r="G749" s="45">
        <v>84</v>
      </c>
      <c r="H749" s="45">
        <v>0.01</v>
      </c>
      <c r="I749" s="45">
        <v>0.2</v>
      </c>
      <c r="J749" s="45">
        <v>0</v>
      </c>
      <c r="K749" s="45">
        <v>0.4</v>
      </c>
      <c r="L749" s="45">
        <v>20.100000000000001</v>
      </c>
      <c r="M749" s="45">
        <v>19.2</v>
      </c>
      <c r="N749" s="45">
        <v>14.4</v>
      </c>
      <c r="O749" s="45">
        <v>0.69</v>
      </c>
    </row>
    <row r="750" spans="1:15" ht="15.75" x14ac:dyDescent="0.25">
      <c r="A750" s="45"/>
      <c r="B750" s="45" t="s">
        <v>158</v>
      </c>
      <c r="C750" s="45">
        <v>20</v>
      </c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</row>
    <row r="751" spans="1:15" ht="15.75" x14ac:dyDescent="0.25">
      <c r="A751" s="45"/>
      <c r="B751" s="45" t="s">
        <v>42</v>
      </c>
      <c r="C751" s="45">
        <v>10</v>
      </c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</row>
    <row r="752" spans="1:15" ht="15.75" x14ac:dyDescent="0.25">
      <c r="A752" s="45"/>
      <c r="B752" s="45" t="s">
        <v>22</v>
      </c>
      <c r="C752" s="45">
        <v>10</v>
      </c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</row>
    <row r="753" spans="1:15" ht="15.75" x14ac:dyDescent="0.25">
      <c r="A753" s="45"/>
      <c r="B753" s="44" t="s">
        <v>107</v>
      </c>
      <c r="C753" s="45">
        <v>40</v>
      </c>
      <c r="D753" s="45">
        <v>3.04</v>
      </c>
      <c r="E753" s="45">
        <v>0.32</v>
      </c>
      <c r="F753" s="45">
        <v>19.68</v>
      </c>
      <c r="G753" s="45">
        <v>94</v>
      </c>
      <c r="H753" s="45">
        <v>0.04</v>
      </c>
      <c r="I753" s="45">
        <v>0</v>
      </c>
      <c r="J753" s="45">
        <v>0</v>
      </c>
      <c r="K753" s="45">
        <v>0.44</v>
      </c>
      <c r="L753" s="45">
        <v>8</v>
      </c>
      <c r="M753" s="45">
        <v>26</v>
      </c>
      <c r="N753" s="45">
        <v>5.6</v>
      </c>
      <c r="O753" s="45">
        <v>0.44</v>
      </c>
    </row>
    <row r="754" spans="1:15" ht="15.75" x14ac:dyDescent="0.25">
      <c r="A754" s="45"/>
      <c r="B754" s="44" t="s">
        <v>73</v>
      </c>
      <c r="C754" s="45">
        <v>30</v>
      </c>
      <c r="D754" s="45">
        <v>2.64</v>
      </c>
      <c r="E754" s="45">
        <v>0.48</v>
      </c>
      <c r="F754" s="45">
        <v>13.36</v>
      </c>
      <c r="G754" s="45">
        <v>69.599999999999994</v>
      </c>
      <c r="H754" s="45">
        <v>7.0000000000000007E-2</v>
      </c>
      <c r="I754" s="45">
        <v>0</v>
      </c>
      <c r="J754" s="45">
        <v>0</v>
      </c>
      <c r="K754" s="45">
        <v>0.56000000000000005</v>
      </c>
      <c r="L754" s="45">
        <v>14</v>
      </c>
      <c r="M754" s="45">
        <v>63.2</v>
      </c>
      <c r="N754" s="45">
        <v>18.8</v>
      </c>
      <c r="O754" s="45">
        <v>1.56</v>
      </c>
    </row>
    <row r="755" spans="1:15" ht="15.75" x14ac:dyDescent="0.25">
      <c r="A755" s="45">
        <v>419</v>
      </c>
      <c r="B755" s="44" t="s">
        <v>197</v>
      </c>
      <c r="C755" s="45">
        <v>35</v>
      </c>
      <c r="D755" s="45">
        <v>0.38</v>
      </c>
      <c r="E755" s="45">
        <v>1.1499999999999999</v>
      </c>
      <c r="F755" s="45">
        <v>1.6</v>
      </c>
      <c r="G755" s="45">
        <v>18.309999999999999</v>
      </c>
      <c r="H755" s="45">
        <v>0</v>
      </c>
      <c r="I755" s="45">
        <v>0.55000000000000004</v>
      </c>
      <c r="J755" s="45">
        <v>7</v>
      </c>
      <c r="K755" s="45">
        <v>7.0000000000000007E-2</v>
      </c>
      <c r="L755" s="45">
        <v>3.03</v>
      </c>
      <c r="M755" s="45">
        <v>1.17</v>
      </c>
      <c r="N755" s="45">
        <v>2.69</v>
      </c>
      <c r="O755" s="45">
        <v>0.14000000000000001</v>
      </c>
    </row>
    <row r="756" spans="1:15" ht="15.75" x14ac:dyDescent="0.25">
      <c r="A756" s="45"/>
      <c r="B756" s="45" t="s">
        <v>34</v>
      </c>
      <c r="C756" s="45">
        <v>5.25</v>
      </c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</row>
    <row r="757" spans="1:15" ht="15.75" x14ac:dyDescent="0.25">
      <c r="A757" s="45"/>
      <c r="B757" s="45" t="s">
        <v>22</v>
      </c>
      <c r="C757" s="45">
        <v>0.63</v>
      </c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</row>
    <row r="758" spans="1:15" ht="15.75" x14ac:dyDescent="0.25">
      <c r="A758" s="45"/>
      <c r="B758" s="45" t="s">
        <v>23</v>
      </c>
      <c r="C758" s="47">
        <v>1.75</v>
      </c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</row>
    <row r="759" spans="1:15" ht="15.75" x14ac:dyDescent="0.25">
      <c r="A759" s="45"/>
      <c r="B759" s="45" t="s">
        <v>46</v>
      </c>
      <c r="C759" s="45">
        <v>1.75</v>
      </c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</row>
    <row r="760" spans="1:15" s="7" customFormat="1" ht="15.75" x14ac:dyDescent="0.25">
      <c r="A760" s="44"/>
      <c r="B760" s="44" t="s">
        <v>347</v>
      </c>
      <c r="C760" s="44"/>
      <c r="D760" s="44">
        <f>D761+D762</f>
        <v>2.77</v>
      </c>
      <c r="E760" s="44">
        <f t="shared" ref="E760:O760" si="37">E761+E762</f>
        <v>1.41</v>
      </c>
      <c r="F760" s="44">
        <f t="shared" si="37"/>
        <v>22.5</v>
      </c>
      <c r="G760" s="44">
        <f t="shared" si="37"/>
        <v>219.8</v>
      </c>
      <c r="H760" s="44">
        <f t="shared" si="37"/>
        <v>0.06</v>
      </c>
      <c r="I760" s="44">
        <f t="shared" si="37"/>
        <v>8</v>
      </c>
      <c r="J760" s="44">
        <f t="shared" si="37"/>
        <v>0</v>
      </c>
      <c r="K760" s="44">
        <f t="shared" si="37"/>
        <v>0.72</v>
      </c>
      <c r="L760" s="44">
        <f t="shared" si="37"/>
        <v>403.3</v>
      </c>
      <c r="M760" s="44">
        <f t="shared" si="37"/>
        <v>15</v>
      </c>
      <c r="N760" s="44">
        <f t="shared" si="37"/>
        <v>2.7</v>
      </c>
      <c r="O760" s="44">
        <f t="shared" si="37"/>
        <v>0.64</v>
      </c>
    </row>
    <row r="761" spans="1:15" ht="15.75" x14ac:dyDescent="0.25">
      <c r="A761" s="45"/>
      <c r="B761" s="44" t="s">
        <v>64</v>
      </c>
      <c r="C761" s="45">
        <v>30</v>
      </c>
      <c r="D761" s="45">
        <v>1.77</v>
      </c>
      <c r="E761" s="45">
        <v>1.41</v>
      </c>
      <c r="F761" s="45">
        <v>22.5</v>
      </c>
      <c r="G761" s="45">
        <v>109.8</v>
      </c>
      <c r="H761" s="45">
        <v>0.02</v>
      </c>
      <c r="I761" s="45">
        <v>0</v>
      </c>
      <c r="J761" s="45">
        <v>0</v>
      </c>
      <c r="K761" s="45">
        <v>0.72</v>
      </c>
      <c r="L761" s="45">
        <v>3.3</v>
      </c>
      <c r="M761" s="45">
        <v>15</v>
      </c>
      <c r="N761" s="45">
        <v>2.7</v>
      </c>
      <c r="O761" s="45">
        <v>0.24</v>
      </c>
    </row>
    <row r="762" spans="1:15" ht="15.75" x14ac:dyDescent="0.25">
      <c r="A762" s="45"/>
      <c r="B762" s="44" t="s">
        <v>137</v>
      </c>
      <c r="C762" s="45">
        <v>200</v>
      </c>
      <c r="D762" s="45">
        <v>1</v>
      </c>
      <c r="E762" s="45">
        <v>0</v>
      </c>
      <c r="F762" s="45">
        <v>0</v>
      </c>
      <c r="G762" s="45">
        <v>110</v>
      </c>
      <c r="H762" s="45">
        <v>0.04</v>
      </c>
      <c r="I762" s="45">
        <v>8</v>
      </c>
      <c r="J762" s="45">
        <v>0</v>
      </c>
      <c r="K762" s="45">
        <v>0</v>
      </c>
      <c r="L762" s="45">
        <v>400</v>
      </c>
      <c r="M762" s="45">
        <v>0</v>
      </c>
      <c r="N762" s="45">
        <v>0</v>
      </c>
      <c r="O762" s="45">
        <v>0.4</v>
      </c>
    </row>
    <row r="763" spans="1:15" ht="15.75" x14ac:dyDescent="0.25">
      <c r="A763" s="45"/>
      <c r="B763" s="45" t="s">
        <v>198</v>
      </c>
      <c r="C763" s="45">
        <v>200</v>
      </c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</row>
    <row r="764" spans="1:15" s="7" customFormat="1" ht="15.75" x14ac:dyDescent="0.25">
      <c r="A764" s="44"/>
      <c r="B764" s="44" t="s">
        <v>66</v>
      </c>
      <c r="C764" s="44"/>
      <c r="D764" s="48">
        <f t="shared" ref="D764:O764" si="38">D687+D708+D731+D760</f>
        <v>100.75999999999999</v>
      </c>
      <c r="E764" s="48">
        <f t="shared" si="38"/>
        <v>57.16</v>
      </c>
      <c r="F764" s="48">
        <f t="shared" si="38"/>
        <v>303.44499999999999</v>
      </c>
      <c r="G764" s="48">
        <f t="shared" si="38"/>
        <v>2241.13</v>
      </c>
      <c r="H764" s="48">
        <f t="shared" si="38"/>
        <v>1.1375</v>
      </c>
      <c r="I764" s="48">
        <f t="shared" si="38"/>
        <v>45.145000000000003</v>
      </c>
      <c r="J764" s="48">
        <f t="shared" si="38"/>
        <v>142.42000000000002</v>
      </c>
      <c r="K764" s="48">
        <f t="shared" si="38"/>
        <v>12.270000000000001</v>
      </c>
      <c r="L764" s="48">
        <f t="shared" si="38"/>
        <v>1021.0550000000001</v>
      </c>
      <c r="M764" s="48">
        <f t="shared" si="38"/>
        <v>1488.0050000000001</v>
      </c>
      <c r="N764" s="48">
        <f t="shared" si="38"/>
        <v>316.55</v>
      </c>
      <c r="O764" s="48">
        <f t="shared" si="38"/>
        <v>20.037500000000001</v>
      </c>
    </row>
    <row r="765" spans="1:15" ht="15.75" x14ac:dyDescent="0.2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</row>
    <row r="766" spans="1:15" ht="18" x14ac:dyDescent="0.25">
      <c r="A766" s="1" t="s">
        <v>199</v>
      </c>
    </row>
    <row r="768" spans="1:15" ht="15.75" x14ac:dyDescent="0.25">
      <c r="A768" s="2" t="s">
        <v>19</v>
      </c>
      <c r="B768" s="4"/>
      <c r="C768" s="4"/>
      <c r="D768" s="4"/>
      <c r="E768" s="4"/>
      <c r="F768" s="4"/>
      <c r="G768" s="5"/>
      <c r="H768" s="4"/>
      <c r="I768" s="4"/>
      <c r="J768" s="4"/>
      <c r="K768" s="4"/>
      <c r="L768" s="4"/>
      <c r="M768" s="4"/>
      <c r="N768" s="4"/>
      <c r="O768" s="4"/>
    </row>
    <row r="769" spans="1:15" ht="15" x14ac:dyDescent="0.2">
      <c r="A769" s="62" t="s">
        <v>17</v>
      </c>
      <c r="B769" s="61" t="s">
        <v>0</v>
      </c>
      <c r="C769" s="61" t="s">
        <v>1</v>
      </c>
      <c r="D769" s="63" t="s">
        <v>9</v>
      </c>
      <c r="E769" s="64"/>
      <c r="F769" s="65"/>
      <c r="G769" s="61" t="s">
        <v>10</v>
      </c>
      <c r="H769" s="61" t="s">
        <v>7</v>
      </c>
      <c r="I769" s="61"/>
      <c r="J769" s="61"/>
      <c r="K769" s="61"/>
      <c r="L769" s="61" t="s">
        <v>8</v>
      </c>
      <c r="M769" s="61"/>
      <c r="N769" s="61"/>
      <c r="O769" s="61"/>
    </row>
    <row r="770" spans="1:15" ht="30" x14ac:dyDescent="0.2">
      <c r="A770" s="62"/>
      <c r="B770" s="61"/>
      <c r="C770" s="61"/>
      <c r="D770" s="41" t="s">
        <v>2</v>
      </c>
      <c r="E770" s="42" t="s">
        <v>3</v>
      </c>
      <c r="F770" s="42" t="s">
        <v>4</v>
      </c>
      <c r="G770" s="61"/>
      <c r="H770" s="42" t="s">
        <v>11</v>
      </c>
      <c r="I770" s="42" t="s">
        <v>12</v>
      </c>
      <c r="J770" s="42" t="s">
        <v>13</v>
      </c>
      <c r="K770" s="42" t="s">
        <v>5</v>
      </c>
      <c r="L770" s="43" t="s">
        <v>14</v>
      </c>
      <c r="M770" s="42" t="s">
        <v>15</v>
      </c>
      <c r="N770" s="42" t="s">
        <v>6</v>
      </c>
      <c r="O770" s="42" t="s">
        <v>16</v>
      </c>
    </row>
    <row r="771" spans="1:15" ht="15.75" x14ac:dyDescent="0.25">
      <c r="A771" s="44"/>
      <c r="B771" s="44" t="s">
        <v>344</v>
      </c>
      <c r="C771" s="44"/>
      <c r="D771" s="44">
        <f>D772+D777+D781+D782+D783</f>
        <v>16.02</v>
      </c>
      <c r="E771" s="44">
        <f t="shared" ref="E771:O771" si="39">E772+E777+E781+E782+E783</f>
        <v>10.719999999999999</v>
      </c>
      <c r="F771" s="44">
        <f t="shared" si="39"/>
        <v>91.46</v>
      </c>
      <c r="G771" s="44">
        <f t="shared" si="39"/>
        <v>319.08</v>
      </c>
      <c r="H771" s="44">
        <f t="shared" si="39"/>
        <v>0.25800000000000001</v>
      </c>
      <c r="I771" s="44">
        <f t="shared" si="39"/>
        <v>40.14</v>
      </c>
      <c r="J771" s="44">
        <f t="shared" si="39"/>
        <v>60</v>
      </c>
      <c r="K771" s="44">
        <f t="shared" si="39"/>
        <v>1.43</v>
      </c>
      <c r="L771" s="44">
        <f t="shared" si="39"/>
        <v>307.18</v>
      </c>
      <c r="M771" s="44">
        <f t="shared" si="39"/>
        <v>362.59999999999997</v>
      </c>
      <c r="N771" s="44">
        <f t="shared" si="39"/>
        <v>94.919999999999987</v>
      </c>
      <c r="O771" s="44">
        <f t="shared" si="39"/>
        <v>2.8960000000000004</v>
      </c>
    </row>
    <row r="772" spans="1:15" ht="31.5" x14ac:dyDescent="0.25">
      <c r="A772" s="45">
        <v>217</v>
      </c>
      <c r="B772" s="44" t="s">
        <v>200</v>
      </c>
      <c r="C772" s="45">
        <v>200</v>
      </c>
      <c r="D772" s="45">
        <f>31.2/1000*200</f>
        <v>6.2399999999999993</v>
      </c>
      <c r="E772" s="45">
        <f>34.1/1000*200</f>
        <v>6.8199999999999994</v>
      </c>
      <c r="F772" s="45">
        <f>185.6/1000*200</f>
        <v>37.119999999999997</v>
      </c>
      <c r="G772" s="45">
        <f>1174/1000*20</f>
        <v>23.479999999999997</v>
      </c>
      <c r="H772" s="45">
        <f>0.29/1000*200</f>
        <v>5.8000000000000003E-2</v>
      </c>
      <c r="I772" s="45">
        <f>7.2/1000*200</f>
        <v>1.44</v>
      </c>
      <c r="J772" s="45">
        <f>205/1000*200</f>
        <v>41</v>
      </c>
      <c r="K772" s="45">
        <f>1.1/1000*200</f>
        <v>0.22</v>
      </c>
      <c r="L772" s="45">
        <f>694.4/1000*200</f>
        <v>138.88</v>
      </c>
      <c r="M772" s="45">
        <f>826.5/1000*200</f>
        <v>165.3</v>
      </c>
      <c r="N772" s="45">
        <f>186.1/1000*200</f>
        <v>37.22</v>
      </c>
      <c r="O772" s="45">
        <f>0.73/1000*200</f>
        <v>0.14599999999999999</v>
      </c>
    </row>
    <row r="773" spans="1:15" ht="15.75" x14ac:dyDescent="0.25">
      <c r="A773" s="45"/>
      <c r="B773" s="45" t="s">
        <v>44</v>
      </c>
      <c r="C773" s="45">
        <f>220/1000*200</f>
        <v>44</v>
      </c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</row>
    <row r="774" spans="1:15" ht="15.75" x14ac:dyDescent="0.25">
      <c r="A774" s="45"/>
      <c r="B774" s="45" t="s">
        <v>22</v>
      </c>
      <c r="C774" s="45">
        <v>5</v>
      </c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</row>
    <row r="775" spans="1:15" ht="15.75" x14ac:dyDescent="0.25">
      <c r="A775" s="45"/>
      <c r="B775" s="45" t="s">
        <v>23</v>
      </c>
      <c r="C775" s="45">
        <v>5</v>
      </c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</row>
    <row r="776" spans="1:15" ht="15.75" x14ac:dyDescent="0.25">
      <c r="A776" s="45"/>
      <c r="B776" s="45" t="s">
        <v>25</v>
      </c>
      <c r="C776" s="45">
        <f>550/1000*200</f>
        <v>110.00000000000001</v>
      </c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</row>
    <row r="777" spans="1:15" ht="15.75" x14ac:dyDescent="0.25">
      <c r="A777" s="45">
        <v>462</v>
      </c>
      <c r="B777" s="44" t="s">
        <v>99</v>
      </c>
      <c r="C777" s="45">
        <v>200</v>
      </c>
      <c r="D777" s="45">
        <v>3.3</v>
      </c>
      <c r="E777" s="45">
        <v>2.9</v>
      </c>
      <c r="F777" s="45">
        <v>13.8</v>
      </c>
      <c r="G777" s="45">
        <v>94</v>
      </c>
      <c r="H777" s="45">
        <v>0.03</v>
      </c>
      <c r="I777" s="45">
        <v>0.7</v>
      </c>
      <c r="J777" s="45">
        <v>19</v>
      </c>
      <c r="K777" s="45">
        <v>0.01</v>
      </c>
      <c r="L777" s="45">
        <v>111.3</v>
      </c>
      <c r="M777" s="45">
        <v>91.1</v>
      </c>
      <c r="N777" s="45">
        <v>22.3</v>
      </c>
      <c r="O777" s="45">
        <v>0.65</v>
      </c>
    </row>
    <row r="778" spans="1:15" ht="15.75" x14ac:dyDescent="0.25">
      <c r="A778" s="45"/>
      <c r="B778" s="45" t="s">
        <v>22</v>
      </c>
      <c r="C778" s="45">
        <v>10</v>
      </c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</row>
    <row r="779" spans="1:15" ht="15.75" x14ac:dyDescent="0.25">
      <c r="A779" s="45"/>
      <c r="B779" s="45" t="s">
        <v>201</v>
      </c>
      <c r="C779" s="45">
        <v>2.4</v>
      </c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</row>
    <row r="780" spans="1:15" ht="15.75" x14ac:dyDescent="0.25">
      <c r="A780" s="45"/>
      <c r="B780" s="45" t="s">
        <v>25</v>
      </c>
      <c r="C780" s="45">
        <v>100</v>
      </c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</row>
    <row r="781" spans="1:15" ht="15.75" x14ac:dyDescent="0.25">
      <c r="A781" s="45"/>
      <c r="B781" s="44" t="s">
        <v>107</v>
      </c>
      <c r="C781" s="45">
        <v>40</v>
      </c>
      <c r="D781" s="45">
        <v>3.04</v>
      </c>
      <c r="E781" s="45">
        <v>0.32</v>
      </c>
      <c r="F781" s="45">
        <v>19.68</v>
      </c>
      <c r="G781" s="45">
        <v>94</v>
      </c>
      <c r="H781" s="45">
        <v>0.04</v>
      </c>
      <c r="I781" s="45">
        <v>0</v>
      </c>
      <c r="J781" s="45">
        <v>0</v>
      </c>
      <c r="K781" s="45">
        <v>0.44</v>
      </c>
      <c r="L781" s="45">
        <v>8</v>
      </c>
      <c r="M781" s="45">
        <v>26</v>
      </c>
      <c r="N781" s="45">
        <v>5.6</v>
      </c>
      <c r="O781" s="45">
        <v>0.44</v>
      </c>
    </row>
    <row r="782" spans="1:15" ht="15.75" x14ac:dyDescent="0.25">
      <c r="A782" s="45"/>
      <c r="B782" s="44" t="s">
        <v>73</v>
      </c>
      <c r="C782" s="45">
        <v>30</v>
      </c>
      <c r="D782" s="45">
        <v>2.64</v>
      </c>
      <c r="E782" s="45">
        <v>0.48</v>
      </c>
      <c r="F782" s="45">
        <v>13.36</v>
      </c>
      <c r="G782" s="45">
        <v>69.599999999999994</v>
      </c>
      <c r="H782" s="45">
        <v>7.0000000000000007E-2</v>
      </c>
      <c r="I782" s="45">
        <v>0</v>
      </c>
      <c r="J782" s="45">
        <v>0</v>
      </c>
      <c r="K782" s="45">
        <v>0.56000000000000005</v>
      </c>
      <c r="L782" s="45">
        <v>14</v>
      </c>
      <c r="M782" s="45">
        <v>63.2</v>
      </c>
      <c r="N782" s="45">
        <v>18.8</v>
      </c>
      <c r="O782" s="45">
        <v>1.56</v>
      </c>
    </row>
    <row r="783" spans="1:15" ht="15.75" x14ac:dyDescent="0.25">
      <c r="A783" s="45">
        <v>112</v>
      </c>
      <c r="B783" s="44" t="s">
        <v>145</v>
      </c>
      <c r="C783" s="45">
        <v>150</v>
      </c>
      <c r="D783" s="45">
        <v>0.8</v>
      </c>
      <c r="E783" s="45">
        <v>0.2</v>
      </c>
      <c r="F783" s="45">
        <v>7.5</v>
      </c>
      <c r="G783" s="45">
        <v>38</v>
      </c>
      <c r="H783" s="45">
        <v>0.06</v>
      </c>
      <c r="I783" s="45">
        <v>38</v>
      </c>
      <c r="J783" s="45">
        <v>0</v>
      </c>
      <c r="K783" s="45">
        <v>0.2</v>
      </c>
      <c r="L783" s="45">
        <v>35</v>
      </c>
      <c r="M783" s="45">
        <v>17</v>
      </c>
      <c r="N783" s="45">
        <v>11</v>
      </c>
      <c r="O783" s="45">
        <v>0.1</v>
      </c>
    </row>
    <row r="784" spans="1:15" s="7" customFormat="1" ht="15.75" x14ac:dyDescent="0.25">
      <c r="A784" s="44"/>
      <c r="B784" s="44" t="s">
        <v>354</v>
      </c>
      <c r="C784" s="44"/>
      <c r="D784" s="44">
        <f t="shared" ref="D784:O784" si="40">D785+D790+D796+D803+D808+D811+D814+D815</f>
        <v>28.615000000000002</v>
      </c>
      <c r="E784" s="44">
        <f t="shared" si="40"/>
        <v>21.430000000000003</v>
      </c>
      <c r="F784" s="44">
        <f t="shared" si="40"/>
        <v>88.524999999999991</v>
      </c>
      <c r="G784" s="44">
        <f t="shared" si="40"/>
        <v>664.31000000000006</v>
      </c>
      <c r="H784" s="44">
        <f t="shared" si="40"/>
        <v>0.47149999999999997</v>
      </c>
      <c r="I784" s="44">
        <f t="shared" si="40"/>
        <v>13.720000000000002</v>
      </c>
      <c r="J784" s="44">
        <f t="shared" si="40"/>
        <v>421.78099999999995</v>
      </c>
      <c r="K784" s="44">
        <f t="shared" si="40"/>
        <v>6.7050000000000001</v>
      </c>
      <c r="L784" s="44">
        <f t="shared" si="40"/>
        <v>228.95</v>
      </c>
      <c r="M784" s="44">
        <f t="shared" si="40"/>
        <v>496.25499999999994</v>
      </c>
      <c r="N784" s="44">
        <f t="shared" si="40"/>
        <v>110.54999999999998</v>
      </c>
      <c r="O784" s="44">
        <f t="shared" si="40"/>
        <v>9.8280000000000012</v>
      </c>
    </row>
    <row r="785" spans="1:15" ht="15.75" x14ac:dyDescent="0.25">
      <c r="A785" s="45">
        <v>32</v>
      </c>
      <c r="B785" s="44" t="s">
        <v>338</v>
      </c>
      <c r="C785" s="45">
        <v>60</v>
      </c>
      <c r="D785" s="45">
        <f>3.1/100*60</f>
        <v>1.8599999999999999</v>
      </c>
      <c r="E785" s="45">
        <f>8.4/100*60</f>
        <v>5.04</v>
      </c>
      <c r="F785" s="45">
        <f>7/100*60</f>
        <v>4.2</v>
      </c>
      <c r="G785" s="45">
        <f>116/100*60</f>
        <v>69.599999999999994</v>
      </c>
      <c r="H785" s="45">
        <f>0.02/100*60</f>
        <v>1.2E-2</v>
      </c>
      <c r="I785" s="45">
        <f>4.9/100*60</f>
        <v>2.94</v>
      </c>
      <c r="J785" s="45">
        <f>20.2/100*60</f>
        <v>12.12</v>
      </c>
      <c r="K785" s="45">
        <f>3.6/100*60</f>
        <v>2.16</v>
      </c>
      <c r="L785" s="45">
        <f>100.1/100*60</f>
        <v>60.059999999999995</v>
      </c>
      <c r="M785" s="45">
        <f>74.3/100*60</f>
        <v>44.58</v>
      </c>
      <c r="N785" s="45">
        <f>20.8/100*60</f>
        <v>12.48</v>
      </c>
      <c r="O785" s="45">
        <f>1.27/100*60</f>
        <v>0.76200000000000001</v>
      </c>
    </row>
    <row r="786" spans="1:15" ht="15.75" x14ac:dyDescent="0.25">
      <c r="A786" s="45"/>
      <c r="B786" s="45" t="s">
        <v>33</v>
      </c>
      <c r="C786" s="45">
        <f>88/100*60</f>
        <v>52.8</v>
      </c>
      <c r="D786" s="45"/>
      <c r="E786" s="45"/>
      <c r="F786" s="45"/>
      <c r="G786" s="45"/>
      <c r="H786" s="45"/>
      <c r="I786" s="45"/>
      <c r="J786" s="45"/>
      <c r="K786" s="45"/>
      <c r="L786" s="45"/>
      <c r="M786" s="45">
        <v>0</v>
      </c>
      <c r="N786" s="45"/>
      <c r="O786" s="45"/>
    </row>
    <row r="787" spans="1:15" ht="15.75" x14ac:dyDescent="0.25">
      <c r="A787" s="45"/>
      <c r="B787" s="45" t="s">
        <v>47</v>
      </c>
      <c r="C787" s="45">
        <f>0.25/100*60</f>
        <v>0.15</v>
      </c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</row>
    <row r="788" spans="1:15" ht="15.75" x14ac:dyDescent="0.25">
      <c r="A788" s="45"/>
      <c r="B788" s="45" t="s">
        <v>339</v>
      </c>
      <c r="C788" s="45">
        <f>7.7/100*60</f>
        <v>4.62</v>
      </c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</row>
    <row r="789" spans="1:15" ht="15.75" x14ac:dyDescent="0.25">
      <c r="A789" s="45"/>
      <c r="B789" s="45" t="s">
        <v>41</v>
      </c>
      <c r="C789" s="45">
        <f>6/100*60</f>
        <v>3.5999999999999996</v>
      </c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</row>
    <row r="790" spans="1:15" ht="15.75" x14ac:dyDescent="0.25">
      <c r="A790" s="45">
        <v>131</v>
      </c>
      <c r="B790" s="44" t="s">
        <v>203</v>
      </c>
      <c r="C790" s="45">
        <v>250</v>
      </c>
      <c r="D790" s="45">
        <f>3.5/1000*250</f>
        <v>0.875</v>
      </c>
      <c r="E790" s="45">
        <f>17.4/1000*250</f>
        <v>4.3499999999999996</v>
      </c>
      <c r="F790" s="45">
        <f>10.1/1000*250</f>
        <v>2.5249999999999999</v>
      </c>
      <c r="G790" s="45">
        <f>211/1000*250</f>
        <v>52.75</v>
      </c>
      <c r="H790" s="45">
        <f>0.05/1000*250</f>
        <v>1.2500000000000001E-2</v>
      </c>
      <c r="I790" s="45">
        <f>7.2/1000*250</f>
        <v>1.8</v>
      </c>
      <c r="J790" s="45">
        <v>0</v>
      </c>
      <c r="K790" s="45">
        <f>9.8/1000*250</f>
        <v>2.4500000000000002</v>
      </c>
      <c r="L790" s="45">
        <f>140.8/1000*250</f>
        <v>35.200000000000003</v>
      </c>
      <c r="M790" s="45">
        <f>117.5/1000*250</f>
        <v>29.375</v>
      </c>
      <c r="N790" s="45">
        <f>52.8/1000*250</f>
        <v>13.2</v>
      </c>
      <c r="O790" s="45">
        <f>2.74/1000*250</f>
        <v>0.68500000000000005</v>
      </c>
    </row>
    <row r="791" spans="1:15" ht="15.75" x14ac:dyDescent="0.25">
      <c r="A791" s="45"/>
      <c r="B791" s="45" t="s">
        <v>41</v>
      </c>
      <c r="C791" s="45">
        <v>5</v>
      </c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</row>
    <row r="792" spans="1:15" ht="15.75" x14ac:dyDescent="0.25">
      <c r="A792" s="45"/>
      <c r="B792" s="45" t="s">
        <v>204</v>
      </c>
      <c r="C792" s="45">
        <v>10</v>
      </c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</row>
    <row r="793" spans="1:15" ht="15.75" x14ac:dyDescent="0.25">
      <c r="A793" s="45"/>
      <c r="B793" s="45" t="s">
        <v>47</v>
      </c>
      <c r="C793" s="45">
        <v>2</v>
      </c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</row>
    <row r="794" spans="1:15" ht="15.75" x14ac:dyDescent="0.25">
      <c r="A794" s="45"/>
      <c r="B794" s="45" t="s">
        <v>36</v>
      </c>
      <c r="C794" s="45">
        <v>10.07</v>
      </c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</row>
    <row r="795" spans="1:15" ht="15.75" x14ac:dyDescent="0.25">
      <c r="A795" s="45"/>
      <c r="B795" s="45" t="s">
        <v>37</v>
      </c>
      <c r="C795" s="45">
        <v>9.75</v>
      </c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</row>
    <row r="796" spans="1:15" ht="31.5" x14ac:dyDescent="0.25">
      <c r="A796" s="45">
        <v>357</v>
      </c>
      <c r="B796" s="44" t="s">
        <v>205</v>
      </c>
      <c r="C796" s="45">
        <v>80</v>
      </c>
      <c r="D796" s="45">
        <f>16.9/100*80</f>
        <v>13.52</v>
      </c>
      <c r="E796" s="45">
        <f>5.3/100*80</f>
        <v>4.24</v>
      </c>
      <c r="F796" s="45">
        <f>14.2/100*80</f>
        <v>11.36</v>
      </c>
      <c r="G796" s="45">
        <f>172/100*80</f>
        <v>137.6</v>
      </c>
      <c r="H796" s="45">
        <f>0.24/100*80</f>
        <v>0.19199999999999998</v>
      </c>
      <c r="I796" s="45">
        <f>6.7/100*80</f>
        <v>5.36</v>
      </c>
      <c r="J796" s="45">
        <v>5.0709999999999997</v>
      </c>
      <c r="K796" s="45">
        <f>1.1/100*80</f>
        <v>0.88000000000000012</v>
      </c>
      <c r="L796" s="45">
        <f>20.8/100*80</f>
        <v>16.64</v>
      </c>
      <c r="M796" s="45">
        <f>256.5/100*80</f>
        <v>205.2</v>
      </c>
      <c r="N796" s="45">
        <f>20.4/100*80</f>
        <v>16.32</v>
      </c>
      <c r="O796" s="45">
        <f>5.02/100*80</f>
        <v>4.016</v>
      </c>
    </row>
    <row r="797" spans="1:15" ht="15.75" x14ac:dyDescent="0.25">
      <c r="A797" s="45"/>
      <c r="B797" s="45" t="s">
        <v>206</v>
      </c>
      <c r="C797" s="45">
        <f>80/100*80</f>
        <v>64</v>
      </c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</row>
    <row r="798" spans="1:15" ht="15.75" x14ac:dyDescent="0.25">
      <c r="A798" s="45"/>
      <c r="B798" s="45" t="s">
        <v>47</v>
      </c>
      <c r="C798" s="45">
        <f>0.5/100*80</f>
        <v>0.4</v>
      </c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</row>
    <row r="799" spans="1:15" ht="15.75" x14ac:dyDescent="0.25">
      <c r="A799" s="45"/>
      <c r="B799" s="45" t="s">
        <v>23</v>
      </c>
      <c r="C799" s="45">
        <f>2/100*80</f>
        <v>1.6</v>
      </c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</row>
    <row r="800" spans="1:15" ht="15.75" x14ac:dyDescent="0.25">
      <c r="A800" s="45"/>
      <c r="B800" s="45" t="s">
        <v>46</v>
      </c>
      <c r="C800" s="45">
        <f>17/100*80</f>
        <v>13.600000000000001</v>
      </c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</row>
    <row r="801" spans="1:15" ht="15.75" x14ac:dyDescent="0.25">
      <c r="A801" s="45"/>
      <c r="B801" s="45" t="s">
        <v>37</v>
      </c>
      <c r="C801" s="45">
        <f>11.7/100*80</f>
        <v>9.36</v>
      </c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</row>
    <row r="802" spans="1:15" ht="15.75" x14ac:dyDescent="0.25">
      <c r="A802" s="45"/>
      <c r="B802" s="45" t="s">
        <v>96</v>
      </c>
      <c r="C802" s="45">
        <f>14.8/100*80</f>
        <v>11.840000000000002</v>
      </c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</row>
    <row r="803" spans="1:15" ht="15.75" x14ac:dyDescent="0.25">
      <c r="A803" s="45">
        <v>435</v>
      </c>
      <c r="B803" s="44" t="s">
        <v>164</v>
      </c>
      <c r="C803" s="45">
        <v>35</v>
      </c>
      <c r="D803" s="45">
        <v>1.28</v>
      </c>
      <c r="E803" s="45">
        <v>2.94</v>
      </c>
      <c r="F803" s="45">
        <v>2.5</v>
      </c>
      <c r="G803" s="45">
        <v>41.26</v>
      </c>
      <c r="H803" s="45">
        <v>0.01</v>
      </c>
      <c r="I803" s="45">
        <v>0.22</v>
      </c>
      <c r="J803" s="45">
        <v>17.29</v>
      </c>
      <c r="K803" s="45">
        <v>7.0000000000000007E-2</v>
      </c>
      <c r="L803" s="45">
        <v>39.799999999999997</v>
      </c>
      <c r="M803" s="45">
        <v>29.9</v>
      </c>
      <c r="N803" s="45">
        <v>4.9000000000000004</v>
      </c>
      <c r="O803" s="45">
        <v>7.0000000000000007E-2</v>
      </c>
    </row>
    <row r="804" spans="1:15" ht="15.75" x14ac:dyDescent="0.25">
      <c r="A804" s="45"/>
      <c r="B804" s="45" t="s">
        <v>23</v>
      </c>
      <c r="C804" s="45">
        <v>2.8</v>
      </c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</row>
    <row r="805" spans="1:15" ht="15.75" x14ac:dyDescent="0.25">
      <c r="A805" s="45"/>
      <c r="B805" s="45" t="s">
        <v>47</v>
      </c>
      <c r="C805" s="45">
        <v>0.28000000000000003</v>
      </c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</row>
    <row r="806" spans="1:15" ht="15.75" x14ac:dyDescent="0.25">
      <c r="A806" s="45"/>
      <c r="B806" s="45" t="s">
        <v>46</v>
      </c>
      <c r="C806" s="45">
        <v>2.8</v>
      </c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</row>
    <row r="807" spans="1:15" ht="15.75" x14ac:dyDescent="0.25">
      <c r="A807" s="45"/>
      <c r="B807" s="45" t="s">
        <v>25</v>
      </c>
      <c r="C807" s="45">
        <v>35</v>
      </c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</row>
    <row r="808" spans="1:15" ht="15.75" x14ac:dyDescent="0.25">
      <c r="A808" s="45">
        <v>156</v>
      </c>
      <c r="B808" s="44" t="s">
        <v>207</v>
      </c>
      <c r="C808" s="45">
        <v>150</v>
      </c>
      <c r="D808" s="45">
        <f>3.4/100*150</f>
        <v>5.1000000000000005</v>
      </c>
      <c r="E808" s="45">
        <f>2.7/100*150</f>
        <v>4.0500000000000007</v>
      </c>
      <c r="F808" s="45">
        <f>11.6/100*150</f>
        <v>17.399999999999999</v>
      </c>
      <c r="G808" s="45">
        <f>85/100*150</f>
        <v>127.5</v>
      </c>
      <c r="H808" s="45">
        <f>0.09/100*150</f>
        <v>0.13500000000000001</v>
      </c>
      <c r="I808" s="45">
        <f>2.2/100*150</f>
        <v>3.3000000000000003</v>
      </c>
      <c r="J808" s="45">
        <f>258.2/100*150</f>
        <v>387.29999999999995</v>
      </c>
      <c r="K808" s="45">
        <f>0.03/100*150</f>
        <v>4.4999999999999998E-2</v>
      </c>
      <c r="L808" s="45">
        <f>25.9/100*150</f>
        <v>38.85</v>
      </c>
      <c r="M808" s="45">
        <f>58.2/100*150</f>
        <v>87.300000000000011</v>
      </c>
      <c r="N808" s="45">
        <f>23.3/100*150</f>
        <v>34.950000000000003</v>
      </c>
      <c r="O808" s="45">
        <f>0.93/100*150</f>
        <v>1.3950000000000002</v>
      </c>
    </row>
    <row r="809" spans="1:15" ht="15.75" x14ac:dyDescent="0.25">
      <c r="A809" s="45"/>
      <c r="B809" s="45" t="s">
        <v>23</v>
      </c>
      <c r="C809" s="45">
        <f>3/100*150</f>
        <v>4.5</v>
      </c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</row>
    <row r="810" spans="1:15" ht="31.5" x14ac:dyDescent="0.25">
      <c r="A810" s="45"/>
      <c r="B810" s="45" t="s">
        <v>208</v>
      </c>
      <c r="C810" s="45">
        <f>107.8/100*150</f>
        <v>161.70000000000002</v>
      </c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</row>
    <row r="811" spans="1:15" ht="15.75" x14ac:dyDescent="0.25">
      <c r="A811" s="45">
        <v>494</v>
      </c>
      <c r="B811" s="44" t="s">
        <v>299</v>
      </c>
      <c r="C811" s="45">
        <v>200</v>
      </c>
      <c r="D811" s="45">
        <v>0.3</v>
      </c>
      <c r="E811" s="45">
        <v>0.01</v>
      </c>
      <c r="F811" s="45">
        <v>17.5</v>
      </c>
      <c r="G811" s="45">
        <v>72</v>
      </c>
      <c r="H811" s="45">
        <v>0</v>
      </c>
      <c r="I811" s="45">
        <v>0.1</v>
      </c>
      <c r="J811" s="45">
        <v>0</v>
      </c>
      <c r="K811" s="45">
        <v>0.1</v>
      </c>
      <c r="L811" s="45">
        <v>16.399999999999999</v>
      </c>
      <c r="M811" s="45">
        <v>10.7</v>
      </c>
      <c r="N811" s="45">
        <v>4.3</v>
      </c>
      <c r="O811" s="45">
        <v>0.9</v>
      </c>
    </row>
    <row r="812" spans="1:15" ht="15.75" x14ac:dyDescent="0.25">
      <c r="A812" s="45"/>
      <c r="B812" s="45" t="s">
        <v>300</v>
      </c>
      <c r="C812" s="45">
        <v>25</v>
      </c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</row>
    <row r="813" spans="1:15" ht="15.75" x14ac:dyDescent="0.25">
      <c r="A813" s="45"/>
      <c r="B813" s="45" t="s">
        <v>22</v>
      </c>
      <c r="C813" s="45">
        <v>10</v>
      </c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</row>
    <row r="814" spans="1:15" ht="15.75" x14ac:dyDescent="0.25">
      <c r="A814" s="45"/>
      <c r="B814" s="44" t="s">
        <v>107</v>
      </c>
      <c r="C814" s="45">
        <v>40</v>
      </c>
      <c r="D814" s="45">
        <v>3.04</v>
      </c>
      <c r="E814" s="45">
        <v>0.32</v>
      </c>
      <c r="F814" s="45">
        <v>19.68</v>
      </c>
      <c r="G814" s="45">
        <v>94</v>
      </c>
      <c r="H814" s="45">
        <v>0.04</v>
      </c>
      <c r="I814" s="45">
        <v>0</v>
      </c>
      <c r="J814" s="45">
        <v>0</v>
      </c>
      <c r="K814" s="45">
        <v>0.44</v>
      </c>
      <c r="L814" s="45">
        <v>8</v>
      </c>
      <c r="M814" s="45">
        <v>26</v>
      </c>
      <c r="N814" s="45">
        <v>5.6</v>
      </c>
      <c r="O814" s="45">
        <v>0.44</v>
      </c>
    </row>
    <row r="815" spans="1:15" ht="15.75" x14ac:dyDescent="0.25">
      <c r="A815" s="45"/>
      <c r="B815" s="44" t="s">
        <v>73</v>
      </c>
      <c r="C815" s="45">
        <v>30</v>
      </c>
      <c r="D815" s="45">
        <v>2.64</v>
      </c>
      <c r="E815" s="45">
        <v>0.48</v>
      </c>
      <c r="F815" s="45">
        <v>13.36</v>
      </c>
      <c r="G815" s="45">
        <v>69.599999999999994</v>
      </c>
      <c r="H815" s="45">
        <v>7.0000000000000007E-2</v>
      </c>
      <c r="I815" s="45">
        <v>0</v>
      </c>
      <c r="J815" s="45">
        <v>0</v>
      </c>
      <c r="K815" s="45">
        <v>0.56000000000000005</v>
      </c>
      <c r="L815" s="45">
        <v>14</v>
      </c>
      <c r="M815" s="45">
        <v>63.2</v>
      </c>
      <c r="N815" s="45">
        <v>18.8</v>
      </c>
      <c r="O815" s="45">
        <v>1.56</v>
      </c>
    </row>
    <row r="816" spans="1:15" s="7" customFormat="1" ht="15.75" x14ac:dyDescent="0.25">
      <c r="A816" s="44"/>
      <c r="B816" s="44" t="s">
        <v>379</v>
      </c>
      <c r="C816" s="44"/>
      <c r="D816" s="44">
        <f t="shared" ref="D816:O816" si="41">D817+D822+D831+D835+D844+D847+D848</f>
        <v>32.160000000000004</v>
      </c>
      <c r="E816" s="44">
        <f t="shared" si="41"/>
        <v>26.860000000000003</v>
      </c>
      <c r="F816" s="44">
        <f t="shared" si="41"/>
        <v>73.27000000000001</v>
      </c>
      <c r="G816" s="44">
        <f t="shared" si="41"/>
        <v>667.77</v>
      </c>
      <c r="H816" s="44">
        <f t="shared" si="41"/>
        <v>0.20799999999999999</v>
      </c>
      <c r="I816" s="44">
        <f t="shared" si="41"/>
        <v>47.008571428571429</v>
      </c>
      <c r="J816" s="44">
        <f t="shared" si="41"/>
        <v>104.04999999999998</v>
      </c>
      <c r="K816" s="44">
        <f t="shared" si="41"/>
        <v>4.92</v>
      </c>
      <c r="L816" s="44">
        <f t="shared" si="41"/>
        <v>156.25</v>
      </c>
      <c r="M816" s="44">
        <f t="shared" si="41"/>
        <v>311.52999999999997</v>
      </c>
      <c r="N816" s="44">
        <f t="shared" si="41"/>
        <v>91.17</v>
      </c>
      <c r="O816" s="44">
        <f t="shared" si="41"/>
        <v>5.3780000000000001</v>
      </c>
    </row>
    <row r="817" spans="1:15" ht="31.5" x14ac:dyDescent="0.25">
      <c r="A817" s="45">
        <v>15</v>
      </c>
      <c r="B817" s="44" t="s">
        <v>209</v>
      </c>
      <c r="C817" s="45">
        <v>60</v>
      </c>
      <c r="D817" s="45">
        <f>0.8/100*60</f>
        <v>0.48</v>
      </c>
      <c r="E817" s="45">
        <f>6.1/100*60</f>
        <v>3.66</v>
      </c>
      <c r="F817" s="45">
        <f>2.6/100*60</f>
        <v>1.56</v>
      </c>
      <c r="G817" s="45">
        <f>69/100*60</f>
        <v>41.4</v>
      </c>
      <c r="H817" s="45">
        <f>0.03/100*60</f>
        <v>1.7999999999999999E-2</v>
      </c>
      <c r="I817" s="45">
        <f>4.2/100*60</f>
        <v>2.52</v>
      </c>
      <c r="J817" s="45">
        <v>0</v>
      </c>
      <c r="K817" s="45">
        <f>4.5/100*60</f>
        <v>2.6999999999999997</v>
      </c>
      <c r="L817" s="45">
        <f>19/100*60</f>
        <v>11.4</v>
      </c>
      <c r="M817" s="45">
        <f>32.8/100*60</f>
        <v>19.679999999999996</v>
      </c>
      <c r="N817" s="45">
        <f>13.5/100*60</f>
        <v>8.1000000000000014</v>
      </c>
      <c r="O817" s="45">
        <f>0.53/100*60</f>
        <v>0.318</v>
      </c>
    </row>
    <row r="818" spans="1:15" ht="15.75" x14ac:dyDescent="0.25">
      <c r="A818" s="45"/>
      <c r="B818" s="45" t="s">
        <v>131</v>
      </c>
      <c r="C818" s="45">
        <f>83.7/100*60</f>
        <v>50.220000000000006</v>
      </c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</row>
    <row r="819" spans="1:15" ht="15.75" x14ac:dyDescent="0.25">
      <c r="A819" s="45"/>
      <c r="B819" s="45" t="s">
        <v>47</v>
      </c>
      <c r="C819" s="45">
        <f>0.25/100*60</f>
        <v>0.15</v>
      </c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</row>
    <row r="820" spans="1:15" ht="15.75" x14ac:dyDescent="0.25">
      <c r="A820" s="45"/>
      <c r="B820" s="45" t="s">
        <v>184</v>
      </c>
      <c r="C820" s="45">
        <f>12/100*60</f>
        <v>7.1999999999999993</v>
      </c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</row>
    <row r="821" spans="1:15" ht="15.75" x14ac:dyDescent="0.25">
      <c r="A821" s="45"/>
      <c r="B821" s="45" t="s">
        <v>41</v>
      </c>
      <c r="C821" s="45">
        <f>6/100*60</f>
        <v>3.5999999999999996</v>
      </c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</row>
    <row r="822" spans="1:15" ht="15.75" x14ac:dyDescent="0.25">
      <c r="A822" s="45">
        <v>116</v>
      </c>
      <c r="B822" s="44" t="s">
        <v>104</v>
      </c>
      <c r="C822" s="45">
        <v>250</v>
      </c>
      <c r="D822" s="45">
        <v>4.2300000000000004</v>
      </c>
      <c r="E822" s="45">
        <v>3.6</v>
      </c>
      <c r="F822" s="45">
        <v>15</v>
      </c>
      <c r="G822" s="45">
        <v>110.2</v>
      </c>
      <c r="H822" s="45">
        <v>0</v>
      </c>
      <c r="I822" s="45">
        <v>0.46</v>
      </c>
      <c r="J822" s="45">
        <v>0</v>
      </c>
      <c r="K822" s="45">
        <v>0</v>
      </c>
      <c r="L822" s="45">
        <v>0.5</v>
      </c>
      <c r="M822" s="45">
        <v>1.4</v>
      </c>
      <c r="N822" s="45">
        <v>0.52</v>
      </c>
      <c r="O822" s="45">
        <v>0.03</v>
      </c>
    </row>
    <row r="823" spans="1:15" ht="15.75" x14ac:dyDescent="0.25">
      <c r="A823" s="45"/>
      <c r="B823" s="45" t="s">
        <v>77</v>
      </c>
      <c r="C823" s="45">
        <v>50</v>
      </c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</row>
    <row r="824" spans="1:15" ht="15.75" x14ac:dyDescent="0.25">
      <c r="A824" s="45"/>
      <c r="B824" s="45" t="s">
        <v>36</v>
      </c>
      <c r="C824" s="45">
        <v>10</v>
      </c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</row>
    <row r="825" spans="1:15" ht="15.75" x14ac:dyDescent="0.25">
      <c r="A825" s="45"/>
      <c r="B825" s="45" t="s">
        <v>37</v>
      </c>
      <c r="C825" s="45">
        <v>10</v>
      </c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</row>
    <row r="826" spans="1:15" ht="15.75" x14ac:dyDescent="0.25">
      <c r="A826" s="45"/>
      <c r="B826" s="45" t="s">
        <v>41</v>
      </c>
      <c r="C826" s="45">
        <v>2.5</v>
      </c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</row>
    <row r="827" spans="1:15" ht="15.75" x14ac:dyDescent="0.25">
      <c r="A827" s="45"/>
      <c r="B827" s="45" t="s">
        <v>47</v>
      </c>
      <c r="C827" s="45">
        <v>0.22</v>
      </c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</row>
    <row r="828" spans="1:15" ht="15.75" x14ac:dyDescent="0.25">
      <c r="A828" s="45"/>
      <c r="B828" s="45" t="s">
        <v>46</v>
      </c>
      <c r="C828" s="45">
        <v>7.7</v>
      </c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</row>
    <row r="829" spans="1:15" ht="15.75" x14ac:dyDescent="0.25">
      <c r="A829" s="45"/>
      <c r="B829" s="45" t="s">
        <v>23</v>
      </c>
      <c r="C829" s="45">
        <v>0.88</v>
      </c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</row>
    <row r="830" spans="1:15" ht="15.75" x14ac:dyDescent="0.25">
      <c r="A830" s="45"/>
      <c r="B830" s="45" t="s">
        <v>96</v>
      </c>
      <c r="C830" s="45">
        <v>2.2000000000000002</v>
      </c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</row>
    <row r="831" spans="1:15" ht="15.75" x14ac:dyDescent="0.25">
      <c r="A831" s="45">
        <v>366</v>
      </c>
      <c r="B831" s="44" t="s">
        <v>340</v>
      </c>
      <c r="C831" s="45">
        <v>80</v>
      </c>
      <c r="D831" s="45">
        <v>18.170000000000002</v>
      </c>
      <c r="E831" s="45">
        <f>11.9/70*80</f>
        <v>13.600000000000001</v>
      </c>
      <c r="F831" s="45">
        <v>0.22</v>
      </c>
      <c r="G831" s="45">
        <v>196.57</v>
      </c>
      <c r="H831" s="45">
        <v>0.03</v>
      </c>
      <c r="I831" s="45">
        <f>0.9/70*80</f>
        <v>1.0285714285714285</v>
      </c>
      <c r="J831" s="45">
        <f>68.6/70*80</f>
        <v>78.399999999999991</v>
      </c>
      <c r="K831" s="45">
        <v>0.56999999999999995</v>
      </c>
      <c r="L831" s="45">
        <v>21.4</v>
      </c>
      <c r="M831" s="45">
        <f>109.9/70*80</f>
        <v>125.60000000000001</v>
      </c>
      <c r="N831" s="45">
        <v>14.9</v>
      </c>
      <c r="O831" s="45">
        <v>1.3</v>
      </c>
    </row>
    <row r="832" spans="1:15" ht="15.75" x14ac:dyDescent="0.25">
      <c r="A832" s="45"/>
      <c r="B832" s="45" t="s">
        <v>163</v>
      </c>
      <c r="C832" s="45">
        <f>70/70*80</f>
        <v>80</v>
      </c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</row>
    <row r="833" spans="1:15" ht="15.75" x14ac:dyDescent="0.25">
      <c r="A833" s="45"/>
      <c r="B833" s="45" t="s">
        <v>36</v>
      </c>
      <c r="C833" s="45">
        <v>2.85</v>
      </c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</row>
    <row r="834" spans="1:15" ht="15.75" x14ac:dyDescent="0.25">
      <c r="A834" s="45"/>
      <c r="B834" s="45" t="s">
        <v>47</v>
      </c>
      <c r="C834" s="45">
        <v>0.28000000000000003</v>
      </c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</row>
    <row r="835" spans="1:15" ht="15.75" x14ac:dyDescent="0.25">
      <c r="A835" s="45">
        <v>380</v>
      </c>
      <c r="B835" s="44" t="s">
        <v>210</v>
      </c>
      <c r="C835" s="45">
        <v>150</v>
      </c>
      <c r="D835" s="45">
        <f>2.2/100*150</f>
        <v>3.3000000000000003</v>
      </c>
      <c r="E835" s="45">
        <v>5.0999999999999996</v>
      </c>
      <c r="F835" s="45">
        <v>12.15</v>
      </c>
      <c r="G835" s="45">
        <v>108</v>
      </c>
      <c r="H835" s="45">
        <v>0.04</v>
      </c>
      <c r="I835" s="45">
        <v>21.3</v>
      </c>
      <c r="J835" s="45">
        <v>25.65</v>
      </c>
      <c r="K835" s="45">
        <v>0.45</v>
      </c>
      <c r="L835" s="45">
        <v>90.15</v>
      </c>
      <c r="M835" s="45">
        <v>66.45</v>
      </c>
      <c r="N835" s="45">
        <v>34.35</v>
      </c>
      <c r="O835" s="45">
        <v>1.32</v>
      </c>
    </row>
    <row r="836" spans="1:15" ht="15.75" x14ac:dyDescent="0.25">
      <c r="A836" s="45"/>
      <c r="B836" s="45" t="s">
        <v>34</v>
      </c>
      <c r="C836" s="45">
        <f>8/100*150</f>
        <v>12</v>
      </c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</row>
    <row r="837" spans="1:15" ht="15.75" x14ac:dyDescent="0.25">
      <c r="A837" s="45"/>
      <c r="B837" s="45" t="s">
        <v>22</v>
      </c>
      <c r="C837" s="45">
        <f>3/100*150</f>
        <v>4.5</v>
      </c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</row>
    <row r="838" spans="1:15" ht="15.75" x14ac:dyDescent="0.25">
      <c r="A838" s="45"/>
      <c r="B838" s="45" t="s">
        <v>46</v>
      </c>
      <c r="C838" s="45">
        <v>1.8</v>
      </c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</row>
    <row r="839" spans="1:15" ht="15.75" x14ac:dyDescent="0.25">
      <c r="A839" s="45"/>
      <c r="B839" s="45" t="s">
        <v>36</v>
      </c>
      <c r="C839" s="45">
        <v>8.85</v>
      </c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</row>
    <row r="840" spans="1:15" ht="15.75" x14ac:dyDescent="0.25">
      <c r="A840" s="45"/>
      <c r="B840" s="45" t="s">
        <v>37</v>
      </c>
      <c r="C840" s="45">
        <f>3.9/100*150</f>
        <v>5.85</v>
      </c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</row>
    <row r="841" spans="1:15" ht="15.75" x14ac:dyDescent="0.25">
      <c r="A841" s="45"/>
      <c r="B841" s="45" t="s">
        <v>38</v>
      </c>
      <c r="C841" s="45">
        <f>105/100*150</f>
        <v>157.5</v>
      </c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</row>
    <row r="842" spans="1:15" ht="15.75" x14ac:dyDescent="0.25">
      <c r="A842" s="45"/>
      <c r="B842" s="45" t="s">
        <v>174</v>
      </c>
      <c r="C842" s="45">
        <v>4</v>
      </c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</row>
    <row r="843" spans="1:15" ht="15.75" x14ac:dyDescent="0.25">
      <c r="A843" s="45"/>
      <c r="B843" s="45" t="s">
        <v>23</v>
      </c>
      <c r="C843" s="45">
        <v>6.75</v>
      </c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</row>
    <row r="844" spans="1:15" ht="15.75" x14ac:dyDescent="0.25">
      <c r="A844" s="45">
        <v>490</v>
      </c>
      <c r="B844" s="44" t="s">
        <v>294</v>
      </c>
      <c r="C844" s="45">
        <v>200</v>
      </c>
      <c r="D844" s="45">
        <v>0.3</v>
      </c>
      <c r="E844" s="45">
        <v>0.1</v>
      </c>
      <c r="F844" s="45">
        <v>11.3</v>
      </c>
      <c r="G844" s="45">
        <v>48</v>
      </c>
      <c r="H844" s="45">
        <v>0.01</v>
      </c>
      <c r="I844" s="45">
        <v>21.7</v>
      </c>
      <c r="J844" s="45">
        <v>0</v>
      </c>
      <c r="K844" s="45">
        <v>0.2</v>
      </c>
      <c r="L844" s="45">
        <v>10.8</v>
      </c>
      <c r="M844" s="45">
        <v>9.1999999999999993</v>
      </c>
      <c r="N844" s="45">
        <v>8.9</v>
      </c>
      <c r="O844" s="45">
        <v>0.41</v>
      </c>
    </row>
    <row r="845" spans="1:15" ht="15.75" x14ac:dyDescent="0.25">
      <c r="A845" s="45"/>
      <c r="B845" s="45" t="s">
        <v>22</v>
      </c>
      <c r="C845" s="45">
        <v>10</v>
      </c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</row>
    <row r="846" spans="1:15" ht="15.75" x14ac:dyDescent="0.25">
      <c r="A846" s="45"/>
      <c r="B846" s="45" t="s">
        <v>113</v>
      </c>
      <c r="C846" s="45">
        <v>30</v>
      </c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</row>
    <row r="847" spans="1:15" ht="15.75" x14ac:dyDescent="0.25">
      <c r="A847" s="45"/>
      <c r="B847" s="44" t="s">
        <v>107</v>
      </c>
      <c r="C847" s="45">
        <v>40</v>
      </c>
      <c r="D847" s="45">
        <v>3.04</v>
      </c>
      <c r="E847" s="45">
        <v>0.32</v>
      </c>
      <c r="F847" s="45">
        <v>19.68</v>
      </c>
      <c r="G847" s="45">
        <v>94</v>
      </c>
      <c r="H847" s="45">
        <v>0.04</v>
      </c>
      <c r="I847" s="45">
        <v>0</v>
      </c>
      <c r="J847" s="45">
        <v>0</v>
      </c>
      <c r="K847" s="45">
        <v>0.44</v>
      </c>
      <c r="L847" s="45">
        <v>8</v>
      </c>
      <c r="M847" s="45">
        <v>26</v>
      </c>
      <c r="N847" s="45">
        <v>5.6</v>
      </c>
      <c r="O847" s="45">
        <v>0.44</v>
      </c>
    </row>
    <row r="848" spans="1:15" ht="15.75" x14ac:dyDescent="0.25">
      <c r="A848" s="45"/>
      <c r="B848" s="44" t="s">
        <v>73</v>
      </c>
      <c r="C848" s="45">
        <v>30</v>
      </c>
      <c r="D848" s="45">
        <v>2.64</v>
      </c>
      <c r="E848" s="45">
        <v>0.48</v>
      </c>
      <c r="F848" s="45">
        <v>13.36</v>
      </c>
      <c r="G848" s="45">
        <v>69.599999999999994</v>
      </c>
      <c r="H848" s="45">
        <v>7.0000000000000007E-2</v>
      </c>
      <c r="I848" s="45">
        <v>0</v>
      </c>
      <c r="J848" s="45">
        <v>0</v>
      </c>
      <c r="K848" s="45">
        <v>0.56000000000000005</v>
      </c>
      <c r="L848" s="45">
        <v>14</v>
      </c>
      <c r="M848" s="45">
        <v>63.2</v>
      </c>
      <c r="N848" s="45">
        <v>18.8</v>
      </c>
      <c r="O848" s="45">
        <v>1.56</v>
      </c>
    </row>
    <row r="849" spans="1:15" s="7" customFormat="1" ht="15.75" x14ac:dyDescent="0.25">
      <c r="A849" s="44"/>
      <c r="B849" s="44" t="s">
        <v>375</v>
      </c>
      <c r="C849" s="44"/>
      <c r="D849" s="44">
        <f>D850+D851</f>
        <v>11.4</v>
      </c>
      <c r="E849" s="44">
        <f t="shared" ref="E849:O849" si="42">E850+E851</f>
        <v>8.3000000000000007</v>
      </c>
      <c r="F849" s="44">
        <f t="shared" si="42"/>
        <v>30</v>
      </c>
      <c r="G849" s="44">
        <f t="shared" si="42"/>
        <v>461</v>
      </c>
      <c r="H849" s="44">
        <f t="shared" si="42"/>
        <v>0.08</v>
      </c>
      <c r="I849" s="44">
        <f t="shared" si="42"/>
        <v>1.4</v>
      </c>
      <c r="J849" s="44">
        <f t="shared" si="42"/>
        <v>0</v>
      </c>
      <c r="K849" s="44">
        <f t="shared" si="42"/>
        <v>0</v>
      </c>
      <c r="L849" s="44">
        <f t="shared" si="42"/>
        <v>240</v>
      </c>
      <c r="M849" s="44">
        <f t="shared" si="42"/>
        <v>0</v>
      </c>
      <c r="N849" s="44">
        <f t="shared" si="42"/>
        <v>0.2</v>
      </c>
      <c r="O849" s="44">
        <f t="shared" si="42"/>
        <v>0</v>
      </c>
    </row>
    <row r="850" spans="1:15" ht="15.75" x14ac:dyDescent="0.25">
      <c r="A850" s="45"/>
      <c r="B850" s="44" t="s">
        <v>293</v>
      </c>
      <c r="C850" s="45">
        <v>100</v>
      </c>
      <c r="D850" s="45">
        <v>5.4</v>
      </c>
      <c r="E850" s="45">
        <v>6.3</v>
      </c>
      <c r="F850" s="45">
        <v>22</v>
      </c>
      <c r="G850" s="45">
        <v>381</v>
      </c>
      <c r="H850" s="45"/>
      <c r="I850" s="45"/>
      <c r="J850" s="45"/>
      <c r="K850" s="45"/>
      <c r="L850" s="45"/>
      <c r="M850" s="45"/>
      <c r="N850" s="45"/>
      <c r="O850" s="45"/>
    </row>
    <row r="851" spans="1:15" ht="15.75" x14ac:dyDescent="0.25">
      <c r="A851" s="45"/>
      <c r="B851" s="44" t="s">
        <v>114</v>
      </c>
      <c r="C851" s="45">
        <v>200</v>
      </c>
      <c r="D851" s="45">
        <v>6</v>
      </c>
      <c r="E851" s="45">
        <v>2</v>
      </c>
      <c r="F851" s="45">
        <v>8</v>
      </c>
      <c r="G851" s="45">
        <v>80</v>
      </c>
      <c r="H851" s="45">
        <v>0.08</v>
      </c>
      <c r="I851" s="45">
        <v>1.4</v>
      </c>
      <c r="J851" s="45">
        <v>0</v>
      </c>
      <c r="K851" s="45">
        <v>0</v>
      </c>
      <c r="L851" s="45">
        <v>240</v>
      </c>
      <c r="M851" s="45">
        <v>0</v>
      </c>
      <c r="N851" s="45">
        <v>0.2</v>
      </c>
      <c r="O851" s="45"/>
    </row>
    <row r="852" spans="1:15" s="7" customFormat="1" ht="15.75" x14ac:dyDescent="0.25">
      <c r="A852" s="44"/>
      <c r="B852" s="44" t="s">
        <v>66</v>
      </c>
      <c r="C852" s="44"/>
      <c r="D852" s="44">
        <f t="shared" ref="D852:O852" si="43">D771+D784+D816+D849</f>
        <v>88.195000000000022</v>
      </c>
      <c r="E852" s="44">
        <f t="shared" si="43"/>
        <v>67.31</v>
      </c>
      <c r="F852" s="44">
        <f t="shared" si="43"/>
        <v>283.255</v>
      </c>
      <c r="G852" s="44">
        <f t="shared" si="43"/>
        <v>2112.16</v>
      </c>
      <c r="H852" s="44">
        <f t="shared" si="43"/>
        <v>1.0175000000000001</v>
      </c>
      <c r="I852" s="44">
        <f t="shared" si="43"/>
        <v>102.26857142857143</v>
      </c>
      <c r="J852" s="44">
        <f t="shared" si="43"/>
        <v>585.8309999999999</v>
      </c>
      <c r="K852" s="44">
        <f t="shared" si="43"/>
        <v>13.055</v>
      </c>
      <c r="L852" s="44">
        <f t="shared" si="43"/>
        <v>932.38</v>
      </c>
      <c r="M852" s="44">
        <f t="shared" si="43"/>
        <v>1170.3849999999998</v>
      </c>
      <c r="N852" s="44">
        <f t="shared" si="43"/>
        <v>296.83999999999997</v>
      </c>
      <c r="O852" s="44">
        <f t="shared" si="43"/>
        <v>18.102000000000004</v>
      </c>
    </row>
    <row r="853" spans="1:15" ht="15.75" x14ac:dyDescent="0.2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</row>
    <row r="854" spans="1:15" ht="18" x14ac:dyDescent="0.25">
      <c r="A854" s="1" t="s">
        <v>235</v>
      </c>
    </row>
    <row r="856" spans="1:15" ht="15.75" x14ac:dyDescent="0.25">
      <c r="A856" s="2" t="s">
        <v>19</v>
      </c>
      <c r="B856" s="4"/>
      <c r="C856" s="4"/>
      <c r="D856" s="4"/>
      <c r="E856" s="4"/>
      <c r="F856" s="4"/>
      <c r="G856" s="5"/>
      <c r="H856" s="4"/>
      <c r="I856" s="4"/>
      <c r="J856" s="4"/>
      <c r="K856" s="4"/>
      <c r="L856" s="4"/>
      <c r="M856" s="4"/>
      <c r="N856" s="4"/>
      <c r="O856" s="4"/>
    </row>
    <row r="857" spans="1:15" ht="15" x14ac:dyDescent="0.2">
      <c r="A857" s="62" t="s">
        <v>17</v>
      </c>
      <c r="B857" s="61" t="s">
        <v>0</v>
      </c>
      <c r="C857" s="61" t="s">
        <v>1</v>
      </c>
      <c r="D857" s="63" t="s">
        <v>9</v>
      </c>
      <c r="E857" s="64"/>
      <c r="F857" s="65"/>
      <c r="G857" s="61" t="s">
        <v>10</v>
      </c>
      <c r="H857" s="61" t="s">
        <v>7</v>
      </c>
      <c r="I857" s="61"/>
      <c r="J857" s="61"/>
      <c r="K857" s="61"/>
      <c r="L857" s="61" t="s">
        <v>8</v>
      </c>
      <c r="M857" s="61"/>
      <c r="N857" s="61"/>
      <c r="O857" s="61"/>
    </row>
    <row r="858" spans="1:15" ht="30" x14ac:dyDescent="0.2">
      <c r="A858" s="62"/>
      <c r="B858" s="61"/>
      <c r="C858" s="61"/>
      <c r="D858" s="41" t="s">
        <v>2</v>
      </c>
      <c r="E858" s="42" t="s">
        <v>3</v>
      </c>
      <c r="F858" s="42" t="s">
        <v>4</v>
      </c>
      <c r="G858" s="61"/>
      <c r="H858" s="42" t="s">
        <v>11</v>
      </c>
      <c r="I858" s="42" t="s">
        <v>12</v>
      </c>
      <c r="J858" s="42" t="s">
        <v>13</v>
      </c>
      <c r="K858" s="42" t="s">
        <v>5</v>
      </c>
      <c r="L858" s="43" t="s">
        <v>14</v>
      </c>
      <c r="M858" s="42" t="s">
        <v>15</v>
      </c>
      <c r="N858" s="42" t="s">
        <v>6</v>
      </c>
      <c r="O858" s="42" t="s">
        <v>16</v>
      </c>
    </row>
    <row r="859" spans="1:15" ht="15.75" x14ac:dyDescent="0.25">
      <c r="A859" s="44"/>
      <c r="B859" s="44" t="s">
        <v>370</v>
      </c>
      <c r="C859" s="44"/>
      <c r="D859" s="44">
        <f t="shared" ref="D859:O859" si="44">D860+D862+D869+D873+D874</f>
        <v>29.08</v>
      </c>
      <c r="E859" s="44">
        <f t="shared" si="44"/>
        <v>33.6</v>
      </c>
      <c r="F859" s="44">
        <f t="shared" si="44"/>
        <v>77.540000000000006</v>
      </c>
      <c r="G859" s="44">
        <f t="shared" si="44"/>
        <v>730.6</v>
      </c>
      <c r="H859" s="44">
        <f t="shared" si="44"/>
        <v>0.19</v>
      </c>
      <c r="I859" s="44">
        <f t="shared" si="44"/>
        <v>9.1999999999999993</v>
      </c>
      <c r="J859" s="44">
        <f t="shared" si="44"/>
        <v>82.4</v>
      </c>
      <c r="K859" s="44">
        <f t="shared" si="44"/>
        <v>9.7199999999999989</v>
      </c>
      <c r="L859" s="44">
        <f t="shared" si="44"/>
        <v>99.600000000000009</v>
      </c>
      <c r="M859" s="44">
        <f t="shared" si="44"/>
        <v>251</v>
      </c>
      <c r="N859" s="44">
        <f t="shared" si="44"/>
        <v>81.8</v>
      </c>
      <c r="O859" s="44">
        <f t="shared" si="44"/>
        <v>5.0999999999999996</v>
      </c>
    </row>
    <row r="860" spans="1:15" ht="47.25" x14ac:dyDescent="0.25">
      <c r="A860" s="45">
        <v>150</v>
      </c>
      <c r="B860" s="44" t="s">
        <v>211</v>
      </c>
      <c r="C860" s="45">
        <v>40</v>
      </c>
      <c r="D860" s="45">
        <v>1.9</v>
      </c>
      <c r="E860" s="45">
        <v>8.9</v>
      </c>
      <c r="F860" s="45">
        <v>7.7</v>
      </c>
      <c r="G860" s="45">
        <v>119</v>
      </c>
      <c r="H860" s="45">
        <v>0.02</v>
      </c>
      <c r="I860" s="45">
        <v>7</v>
      </c>
      <c r="J860" s="45">
        <v>0</v>
      </c>
      <c r="K860" s="45">
        <v>3.1</v>
      </c>
      <c r="L860" s="45">
        <v>41</v>
      </c>
      <c r="M860" s="45">
        <v>37</v>
      </c>
      <c r="N860" s="45">
        <v>15</v>
      </c>
      <c r="O860" s="45">
        <v>0.7</v>
      </c>
    </row>
    <row r="861" spans="1:15" ht="15.75" x14ac:dyDescent="0.25">
      <c r="A861" s="45"/>
      <c r="B861" s="45" t="s">
        <v>212</v>
      </c>
      <c r="C861" s="45">
        <v>40</v>
      </c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</row>
    <row r="862" spans="1:15" ht="15.75" x14ac:dyDescent="0.25">
      <c r="A862" s="45">
        <v>375</v>
      </c>
      <c r="B862" s="44" t="s">
        <v>213</v>
      </c>
      <c r="C862" s="45">
        <v>210</v>
      </c>
      <c r="D862" s="45">
        <v>21.2</v>
      </c>
      <c r="E862" s="45">
        <v>23.8</v>
      </c>
      <c r="F862" s="45">
        <v>27.3</v>
      </c>
      <c r="G862" s="45">
        <v>408</v>
      </c>
      <c r="H862" s="45">
        <v>0.06</v>
      </c>
      <c r="I862" s="45">
        <v>1.2</v>
      </c>
      <c r="J862" s="45">
        <v>82.4</v>
      </c>
      <c r="K862" s="45">
        <v>5.6</v>
      </c>
      <c r="L862" s="45">
        <v>28.7</v>
      </c>
      <c r="M862" s="45">
        <v>115.7</v>
      </c>
      <c r="N862" s="45">
        <v>37.4</v>
      </c>
      <c r="O862" s="45">
        <v>1.53</v>
      </c>
    </row>
    <row r="863" spans="1:15" ht="15.75" x14ac:dyDescent="0.25">
      <c r="A863" s="45"/>
      <c r="B863" s="45" t="s">
        <v>44</v>
      </c>
      <c r="C863" s="45">
        <v>48.5</v>
      </c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</row>
    <row r="864" spans="1:15" ht="15.75" x14ac:dyDescent="0.25">
      <c r="A864" s="45"/>
      <c r="B864" s="45" t="s">
        <v>285</v>
      </c>
      <c r="C864" s="45">
        <v>70</v>
      </c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</row>
    <row r="865" spans="1:15" ht="15.75" x14ac:dyDescent="0.25">
      <c r="A865" s="45"/>
      <c r="B865" s="45" t="s">
        <v>47</v>
      </c>
      <c r="C865" s="45">
        <v>0.9</v>
      </c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</row>
    <row r="866" spans="1:15" ht="15.75" x14ac:dyDescent="0.25">
      <c r="A866" s="45"/>
      <c r="B866" s="45" t="s">
        <v>36</v>
      </c>
      <c r="C866" s="45">
        <v>18.399999999999999</v>
      </c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</row>
    <row r="867" spans="1:15" ht="15.75" x14ac:dyDescent="0.25">
      <c r="A867" s="45"/>
      <c r="B867" s="45" t="s">
        <v>37</v>
      </c>
      <c r="C867" s="45">
        <v>10.9</v>
      </c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</row>
    <row r="868" spans="1:15" ht="15.75" x14ac:dyDescent="0.25">
      <c r="A868" s="45"/>
      <c r="B868" s="45" t="s">
        <v>41</v>
      </c>
      <c r="C868" s="45">
        <v>11</v>
      </c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</row>
    <row r="869" spans="1:15" ht="15.75" x14ac:dyDescent="0.25">
      <c r="A869" s="45">
        <v>459</v>
      </c>
      <c r="B869" s="44" t="s">
        <v>214</v>
      </c>
      <c r="C869" s="45">
        <v>200</v>
      </c>
      <c r="D869" s="45">
        <v>0.3</v>
      </c>
      <c r="E869" s="45">
        <v>0.1</v>
      </c>
      <c r="F869" s="45">
        <v>9.5</v>
      </c>
      <c r="G869" s="45">
        <v>40</v>
      </c>
      <c r="H869" s="45">
        <v>0</v>
      </c>
      <c r="I869" s="45">
        <v>1</v>
      </c>
      <c r="J869" s="45">
        <v>0</v>
      </c>
      <c r="K869" s="45">
        <v>0.02</v>
      </c>
      <c r="L869" s="45">
        <v>7.9</v>
      </c>
      <c r="M869" s="45">
        <v>9.1</v>
      </c>
      <c r="N869" s="45">
        <v>5</v>
      </c>
      <c r="O869" s="45">
        <v>0.87</v>
      </c>
    </row>
    <row r="870" spans="1:15" ht="15.75" x14ac:dyDescent="0.25">
      <c r="A870" s="45"/>
      <c r="B870" s="45" t="s">
        <v>55</v>
      </c>
      <c r="C870" s="45">
        <v>7.2</v>
      </c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</row>
    <row r="871" spans="1:15" ht="15.75" x14ac:dyDescent="0.25">
      <c r="A871" s="45"/>
      <c r="B871" s="45" t="s">
        <v>22</v>
      </c>
      <c r="C871" s="45">
        <v>10</v>
      </c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</row>
    <row r="872" spans="1:15" ht="15.75" x14ac:dyDescent="0.25">
      <c r="A872" s="45"/>
      <c r="B872" s="45" t="s">
        <v>71</v>
      </c>
      <c r="C872" s="45">
        <v>1</v>
      </c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</row>
    <row r="873" spans="1:15" ht="15.75" x14ac:dyDescent="0.25">
      <c r="A873" s="45"/>
      <c r="B873" s="44" t="s">
        <v>107</v>
      </c>
      <c r="C873" s="45">
        <v>40</v>
      </c>
      <c r="D873" s="45">
        <v>3.04</v>
      </c>
      <c r="E873" s="45">
        <v>0.32</v>
      </c>
      <c r="F873" s="45">
        <v>19.68</v>
      </c>
      <c r="G873" s="45">
        <v>94</v>
      </c>
      <c r="H873" s="45">
        <v>0.04</v>
      </c>
      <c r="I873" s="45">
        <v>0</v>
      </c>
      <c r="J873" s="45">
        <v>0</v>
      </c>
      <c r="K873" s="45">
        <v>0.44</v>
      </c>
      <c r="L873" s="45">
        <v>8</v>
      </c>
      <c r="M873" s="45">
        <v>26</v>
      </c>
      <c r="N873" s="45">
        <v>5.6</v>
      </c>
      <c r="O873" s="45">
        <v>0.44</v>
      </c>
    </row>
    <row r="874" spans="1:15" ht="15.75" x14ac:dyDescent="0.25">
      <c r="A874" s="45"/>
      <c r="B874" s="44" t="s">
        <v>73</v>
      </c>
      <c r="C874" s="45">
        <v>30</v>
      </c>
      <c r="D874" s="45">
        <v>2.64</v>
      </c>
      <c r="E874" s="45">
        <v>0.48</v>
      </c>
      <c r="F874" s="45">
        <v>13.36</v>
      </c>
      <c r="G874" s="45">
        <v>69.599999999999994</v>
      </c>
      <c r="H874" s="45">
        <v>7.0000000000000007E-2</v>
      </c>
      <c r="I874" s="45">
        <v>0</v>
      </c>
      <c r="J874" s="45">
        <v>0</v>
      </c>
      <c r="K874" s="45">
        <v>0.56000000000000005</v>
      </c>
      <c r="L874" s="45">
        <v>14</v>
      </c>
      <c r="M874" s="45">
        <v>63.2</v>
      </c>
      <c r="N874" s="45">
        <v>18.8</v>
      </c>
      <c r="O874" s="45">
        <v>1.56</v>
      </c>
    </row>
    <row r="875" spans="1:15" ht="15.75" x14ac:dyDescent="0.25">
      <c r="A875" s="45"/>
      <c r="B875" s="44" t="s">
        <v>356</v>
      </c>
      <c r="C875" s="45">
        <v>100</v>
      </c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</row>
    <row r="876" spans="1:15" s="7" customFormat="1" ht="15.75" x14ac:dyDescent="0.25">
      <c r="A876" s="44"/>
      <c r="B876" s="44" t="s">
        <v>373</v>
      </c>
      <c r="C876" s="44"/>
      <c r="D876" s="44">
        <f t="shared" ref="D876:O876" si="45">D877+D878+D887+D893+D898+D902+D903</f>
        <v>37.849999999999994</v>
      </c>
      <c r="E876" s="44">
        <f t="shared" si="45"/>
        <v>20.290000000000003</v>
      </c>
      <c r="F876" s="44">
        <f t="shared" si="45"/>
        <v>99.54</v>
      </c>
      <c r="G876" s="44">
        <f t="shared" si="45"/>
        <v>736.48</v>
      </c>
      <c r="H876" s="44">
        <f t="shared" si="45"/>
        <v>0.68800000000000017</v>
      </c>
      <c r="I876" s="44">
        <f t="shared" si="45"/>
        <v>43.29</v>
      </c>
      <c r="J876" s="44">
        <f t="shared" si="45"/>
        <v>17.009999999999998</v>
      </c>
      <c r="K876" s="44">
        <f t="shared" si="45"/>
        <v>5.7200000000000006</v>
      </c>
      <c r="L876" s="44">
        <f t="shared" si="45"/>
        <v>197.21</v>
      </c>
      <c r="M876" s="44">
        <f t="shared" si="45"/>
        <v>492.03999999999996</v>
      </c>
      <c r="N876" s="44">
        <f t="shared" si="45"/>
        <v>160.44999999999999</v>
      </c>
      <c r="O876" s="44">
        <f t="shared" si="45"/>
        <v>11.866000000000001</v>
      </c>
    </row>
    <row r="877" spans="1:15" ht="15.75" x14ac:dyDescent="0.25">
      <c r="A877" s="45">
        <v>148</v>
      </c>
      <c r="B877" s="44" t="s">
        <v>298</v>
      </c>
      <c r="C877" s="45">
        <v>60</v>
      </c>
      <c r="D877" s="45">
        <v>1.1000000000000001</v>
      </c>
      <c r="E877" s="45">
        <v>0.2</v>
      </c>
      <c r="F877" s="45">
        <v>3.8</v>
      </c>
      <c r="G877" s="45">
        <v>24</v>
      </c>
      <c r="H877" s="45">
        <v>0.06</v>
      </c>
      <c r="I877" s="45">
        <v>25</v>
      </c>
      <c r="J877" s="45">
        <v>0</v>
      </c>
      <c r="K877" s="45">
        <v>0.7</v>
      </c>
      <c r="L877" s="45">
        <v>14</v>
      </c>
      <c r="M877" s="45">
        <v>26</v>
      </c>
      <c r="N877" s="45">
        <v>20</v>
      </c>
      <c r="O877" s="45">
        <v>0.9</v>
      </c>
    </row>
    <row r="878" spans="1:15" ht="15.75" x14ac:dyDescent="0.25">
      <c r="A878" s="45">
        <v>98</v>
      </c>
      <c r="B878" s="44" t="s">
        <v>171</v>
      </c>
      <c r="C878" s="45">
        <v>250</v>
      </c>
      <c r="D878" s="45">
        <v>2.0499999999999998</v>
      </c>
      <c r="E878" s="45">
        <v>4.75</v>
      </c>
      <c r="F878" s="45">
        <v>10.72</v>
      </c>
      <c r="G878" s="45">
        <v>93.75</v>
      </c>
      <c r="H878" s="45">
        <v>0.06</v>
      </c>
      <c r="I878" s="45">
        <v>8.1199999999999992</v>
      </c>
      <c r="J878" s="45">
        <v>0</v>
      </c>
      <c r="K878" s="45">
        <v>2.4</v>
      </c>
      <c r="L878" s="45">
        <v>40.9</v>
      </c>
      <c r="M878" s="45">
        <v>66.099999999999994</v>
      </c>
      <c r="N878" s="45">
        <v>30.02</v>
      </c>
      <c r="O878" s="45">
        <v>1.53</v>
      </c>
    </row>
    <row r="879" spans="1:15" ht="15.75" x14ac:dyDescent="0.25">
      <c r="A879" s="45"/>
      <c r="B879" s="45" t="s">
        <v>33</v>
      </c>
      <c r="C879" s="45">
        <v>64</v>
      </c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</row>
    <row r="880" spans="1:15" ht="15.75" x14ac:dyDescent="0.25">
      <c r="A880" s="45"/>
      <c r="B880" s="45" t="s">
        <v>34</v>
      </c>
      <c r="C880" s="45">
        <v>3.25</v>
      </c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</row>
    <row r="881" spans="1:15" ht="15.75" x14ac:dyDescent="0.25">
      <c r="A881" s="45"/>
      <c r="B881" s="45" t="s">
        <v>22</v>
      </c>
      <c r="C881" s="45">
        <v>2.5</v>
      </c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</row>
    <row r="882" spans="1:15" ht="15.75" x14ac:dyDescent="0.25">
      <c r="A882" s="45"/>
      <c r="B882" s="45" t="s">
        <v>23</v>
      </c>
      <c r="C882" s="45">
        <v>5</v>
      </c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</row>
    <row r="883" spans="1:15" ht="15.75" x14ac:dyDescent="0.25">
      <c r="A883" s="45"/>
      <c r="B883" s="45" t="s">
        <v>35</v>
      </c>
      <c r="C883" s="45">
        <v>15</v>
      </c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</row>
    <row r="884" spans="1:15" ht="15.75" x14ac:dyDescent="0.25">
      <c r="A884" s="45"/>
      <c r="B884" s="45" t="s">
        <v>36</v>
      </c>
      <c r="C884" s="45">
        <v>11.32</v>
      </c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</row>
    <row r="885" spans="1:15" ht="15.75" x14ac:dyDescent="0.25">
      <c r="A885" s="45"/>
      <c r="B885" s="45" t="s">
        <v>37</v>
      </c>
      <c r="C885" s="45">
        <v>9.75</v>
      </c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</row>
    <row r="886" spans="1:15" ht="15.75" x14ac:dyDescent="0.25">
      <c r="A886" s="45"/>
      <c r="B886" s="45" t="s">
        <v>77</v>
      </c>
      <c r="C886" s="45">
        <v>43.12</v>
      </c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</row>
    <row r="887" spans="1:15" ht="15.75" x14ac:dyDescent="0.25">
      <c r="A887" s="45">
        <v>339</v>
      </c>
      <c r="B887" s="44" t="s">
        <v>215</v>
      </c>
      <c r="C887" s="45">
        <v>80</v>
      </c>
      <c r="D887" s="45">
        <f>17.4/100*80</f>
        <v>13.919999999999998</v>
      </c>
      <c r="E887" s="45">
        <f>13.8/100*80</f>
        <v>11.040000000000001</v>
      </c>
      <c r="F887" s="45">
        <f>15.6/100*80</f>
        <v>12.48</v>
      </c>
      <c r="G887" s="45">
        <f>256/100*80</f>
        <v>204.8</v>
      </c>
      <c r="H887" s="45">
        <f>0.16/100*80</f>
        <v>0.128</v>
      </c>
      <c r="I887" s="45">
        <f>0.3/100*80</f>
        <v>0.24</v>
      </c>
      <c r="J887" s="45">
        <f>4.6/100*80</f>
        <v>3.6799999999999997</v>
      </c>
      <c r="K887" s="45">
        <f>1.4/100*80</f>
        <v>1.1199999999999999</v>
      </c>
      <c r="L887" s="45">
        <f>54.1/100*80</f>
        <v>43.28</v>
      </c>
      <c r="M887" s="45">
        <f>181.8/100*80</f>
        <v>145.44</v>
      </c>
      <c r="N887" s="45">
        <f>25.5/100*80</f>
        <v>20.399999999999999</v>
      </c>
      <c r="O887" s="45">
        <f>2.82/100*80</f>
        <v>2.2559999999999998</v>
      </c>
    </row>
    <row r="888" spans="1:15" ht="15.75" x14ac:dyDescent="0.25">
      <c r="A888" s="45"/>
      <c r="B888" s="45" t="s">
        <v>93</v>
      </c>
      <c r="C888" s="45">
        <f>11/100*80</f>
        <v>8.8000000000000007</v>
      </c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</row>
    <row r="889" spans="1:15" ht="15.75" x14ac:dyDescent="0.25">
      <c r="A889" s="45"/>
      <c r="B889" s="45" t="s">
        <v>41</v>
      </c>
      <c r="C889" s="45">
        <f>2/100*80</f>
        <v>1.6</v>
      </c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</row>
    <row r="890" spans="1:15" ht="15.75" x14ac:dyDescent="0.25">
      <c r="A890" s="45"/>
      <c r="B890" s="45" t="s">
        <v>216</v>
      </c>
      <c r="C890" s="45">
        <f>82/100*80</f>
        <v>65.599999999999994</v>
      </c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</row>
    <row r="891" spans="1:15" ht="15.75" x14ac:dyDescent="0.25">
      <c r="A891" s="45"/>
      <c r="B891" s="45" t="s">
        <v>25</v>
      </c>
      <c r="C891" s="45">
        <f>23/100*80</f>
        <v>18.400000000000002</v>
      </c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</row>
    <row r="892" spans="1:15" ht="15.75" x14ac:dyDescent="0.25">
      <c r="A892" s="45"/>
      <c r="B892" s="45" t="s">
        <v>27</v>
      </c>
      <c r="C892" s="45">
        <f>19/100*80</f>
        <v>15.2</v>
      </c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</row>
    <row r="893" spans="1:15" ht="31.5" x14ac:dyDescent="0.25">
      <c r="A893" s="45">
        <v>390</v>
      </c>
      <c r="B893" s="44" t="s">
        <v>217</v>
      </c>
      <c r="C893" s="45">
        <v>150</v>
      </c>
      <c r="D893" s="45">
        <f>22.5/225*150</f>
        <v>15</v>
      </c>
      <c r="E893" s="45">
        <f>5.1/225*150</f>
        <v>3.4</v>
      </c>
      <c r="F893" s="45">
        <f>42.9/225*150</f>
        <v>28.599999999999998</v>
      </c>
      <c r="G893" s="45">
        <v>205.33</v>
      </c>
      <c r="H893" s="45">
        <f>0.48/225*150</f>
        <v>0.32</v>
      </c>
      <c r="I893" s="45">
        <v>1.33</v>
      </c>
      <c r="J893" s="45">
        <v>13.33</v>
      </c>
      <c r="K893" s="45">
        <f>0.6/225*150</f>
        <v>0.39999999999999997</v>
      </c>
      <c r="L893" s="45">
        <v>71.53</v>
      </c>
      <c r="M893" s="45">
        <f>241.5/225*150</f>
        <v>161</v>
      </c>
      <c r="N893" s="45">
        <v>61.73</v>
      </c>
      <c r="O893" s="45">
        <v>4.8</v>
      </c>
    </row>
    <row r="894" spans="1:15" ht="15.75" x14ac:dyDescent="0.25">
      <c r="A894" s="45"/>
      <c r="B894" s="45" t="s">
        <v>36</v>
      </c>
      <c r="C894" s="45">
        <v>26.86</v>
      </c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</row>
    <row r="895" spans="1:15" ht="15.75" x14ac:dyDescent="0.25">
      <c r="A895" s="45"/>
      <c r="B895" s="45" t="s">
        <v>23</v>
      </c>
      <c r="C895" s="45">
        <v>3.33</v>
      </c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</row>
    <row r="896" spans="1:15" ht="15.75" x14ac:dyDescent="0.25">
      <c r="A896" s="45"/>
      <c r="B896" s="45" t="s">
        <v>47</v>
      </c>
      <c r="C896" s="45">
        <v>1.33</v>
      </c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</row>
    <row r="897" spans="1:15" ht="15.75" x14ac:dyDescent="0.25">
      <c r="A897" s="45"/>
      <c r="B897" s="45" t="s">
        <v>83</v>
      </c>
      <c r="C897" s="45">
        <v>66.930000000000007</v>
      </c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</row>
    <row r="898" spans="1:15" ht="15.75" x14ac:dyDescent="0.25">
      <c r="A898" s="45">
        <v>492</v>
      </c>
      <c r="B898" s="44" t="s">
        <v>362</v>
      </c>
      <c r="C898" s="45">
        <v>200</v>
      </c>
      <c r="D898" s="45">
        <v>0.1</v>
      </c>
      <c r="E898" s="45">
        <v>0.1</v>
      </c>
      <c r="F898" s="45">
        <v>10.9</v>
      </c>
      <c r="G898" s="45">
        <v>45</v>
      </c>
      <c r="H898" s="45">
        <v>0.01</v>
      </c>
      <c r="I898" s="45">
        <v>8.6</v>
      </c>
      <c r="J898" s="45">
        <v>0</v>
      </c>
      <c r="K898" s="45">
        <v>0.1</v>
      </c>
      <c r="L898" s="45">
        <v>5.5</v>
      </c>
      <c r="M898" s="45">
        <v>4.3</v>
      </c>
      <c r="N898" s="45">
        <v>3.9</v>
      </c>
      <c r="O898" s="45">
        <v>0.38</v>
      </c>
    </row>
    <row r="899" spans="1:15" ht="15.75" x14ac:dyDescent="0.25">
      <c r="A899" s="45"/>
      <c r="B899" s="45" t="s">
        <v>363</v>
      </c>
      <c r="C899" s="45">
        <v>20</v>
      </c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</row>
    <row r="900" spans="1:15" ht="15.75" x14ac:dyDescent="0.25">
      <c r="A900" s="45"/>
      <c r="B900" s="45" t="s">
        <v>22</v>
      </c>
      <c r="C900" s="45">
        <v>10</v>
      </c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</row>
    <row r="901" spans="1:15" ht="15.75" x14ac:dyDescent="0.25">
      <c r="A901" s="45"/>
      <c r="B901" s="45" t="s">
        <v>42</v>
      </c>
      <c r="C901" s="45">
        <v>10</v>
      </c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</row>
    <row r="902" spans="1:15" ht="15.75" x14ac:dyDescent="0.25">
      <c r="A902" s="45"/>
      <c r="B902" s="44" t="s">
        <v>107</v>
      </c>
      <c r="C902" s="45">
        <v>40</v>
      </c>
      <c r="D902" s="45">
        <v>3.04</v>
      </c>
      <c r="E902" s="45">
        <v>0.32</v>
      </c>
      <c r="F902" s="45">
        <v>19.68</v>
      </c>
      <c r="G902" s="45">
        <v>94</v>
      </c>
      <c r="H902" s="45">
        <v>0.04</v>
      </c>
      <c r="I902" s="45">
        <v>0</v>
      </c>
      <c r="J902" s="45">
        <v>0</v>
      </c>
      <c r="K902" s="45">
        <v>0.44</v>
      </c>
      <c r="L902" s="45">
        <v>8</v>
      </c>
      <c r="M902" s="45">
        <v>26</v>
      </c>
      <c r="N902" s="45">
        <v>5.6</v>
      </c>
      <c r="O902" s="45">
        <v>0.44</v>
      </c>
    </row>
    <row r="903" spans="1:15" ht="15.75" x14ac:dyDescent="0.25">
      <c r="A903" s="45"/>
      <c r="B903" s="44" t="s">
        <v>73</v>
      </c>
      <c r="C903" s="45">
        <v>30</v>
      </c>
      <c r="D903" s="45">
        <v>2.64</v>
      </c>
      <c r="E903" s="45">
        <v>0.48</v>
      </c>
      <c r="F903" s="45">
        <v>13.36</v>
      </c>
      <c r="G903" s="45">
        <v>69.599999999999994</v>
      </c>
      <c r="H903" s="45">
        <v>7.0000000000000007E-2</v>
      </c>
      <c r="I903" s="45">
        <v>0</v>
      </c>
      <c r="J903" s="45">
        <v>0</v>
      </c>
      <c r="K903" s="45">
        <v>0.56000000000000005</v>
      </c>
      <c r="L903" s="45">
        <v>14</v>
      </c>
      <c r="M903" s="45">
        <v>63.2</v>
      </c>
      <c r="N903" s="45">
        <v>18.8</v>
      </c>
      <c r="O903" s="45">
        <v>1.56</v>
      </c>
    </row>
    <row r="904" spans="1:15" ht="15.75" x14ac:dyDescent="0.25">
      <c r="A904" s="45"/>
      <c r="B904" s="44" t="s">
        <v>374</v>
      </c>
      <c r="C904" s="45"/>
      <c r="D904" s="44">
        <f t="shared" ref="D904:O904" si="46">D905+D909+D916+D923+D928+D931+D932</f>
        <v>37.620000000000005</v>
      </c>
      <c r="E904" s="44">
        <f t="shared" si="46"/>
        <v>19.78</v>
      </c>
      <c r="F904" s="44">
        <f t="shared" si="46"/>
        <v>90.284999999999997</v>
      </c>
      <c r="G904" s="44">
        <f t="shared" si="46"/>
        <v>689.75</v>
      </c>
      <c r="H904" s="44">
        <f t="shared" si="46"/>
        <v>0.67886363636363645</v>
      </c>
      <c r="I904" s="44">
        <f t="shared" si="46"/>
        <v>133.66</v>
      </c>
      <c r="J904" s="44">
        <f t="shared" si="46"/>
        <v>60</v>
      </c>
      <c r="K904" s="44">
        <f t="shared" si="46"/>
        <v>5.3550000000000004</v>
      </c>
      <c r="L904" s="44">
        <f t="shared" si="46"/>
        <v>143.86000000000001</v>
      </c>
      <c r="M904" s="44">
        <f t="shared" si="46"/>
        <v>611.87500000000011</v>
      </c>
      <c r="N904" s="44">
        <f t="shared" si="46"/>
        <v>135.47499999999999</v>
      </c>
      <c r="O904" s="44">
        <f t="shared" si="46"/>
        <v>10.1515</v>
      </c>
    </row>
    <row r="905" spans="1:15" ht="15.75" x14ac:dyDescent="0.25">
      <c r="A905" s="45">
        <v>21</v>
      </c>
      <c r="B905" s="44" t="s">
        <v>322</v>
      </c>
      <c r="C905" s="45">
        <v>60</v>
      </c>
      <c r="D905" s="45">
        <v>0.72</v>
      </c>
      <c r="E905" s="45">
        <v>3.66</v>
      </c>
      <c r="F905" s="45">
        <v>6.72</v>
      </c>
      <c r="G905" s="45">
        <v>62.4</v>
      </c>
      <c r="H905" s="45">
        <v>0.03</v>
      </c>
      <c r="I905" s="45">
        <v>1.86</v>
      </c>
      <c r="J905" s="45">
        <v>0</v>
      </c>
      <c r="K905" s="45">
        <v>2.34</v>
      </c>
      <c r="L905" s="45">
        <v>14.64</v>
      </c>
      <c r="M905" s="45">
        <v>29.7</v>
      </c>
      <c r="N905" s="45">
        <v>20.399999999999999</v>
      </c>
      <c r="O905" s="45">
        <v>0.38400000000000001</v>
      </c>
    </row>
    <row r="906" spans="1:15" ht="15.75" x14ac:dyDescent="0.25">
      <c r="A906" s="45"/>
      <c r="B906" s="45" t="s">
        <v>37</v>
      </c>
      <c r="C906" s="45">
        <v>53.8</v>
      </c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</row>
    <row r="907" spans="1:15" ht="15.75" x14ac:dyDescent="0.25">
      <c r="A907" s="45"/>
      <c r="B907" s="45" t="s">
        <v>22</v>
      </c>
      <c r="C907" s="45">
        <v>3</v>
      </c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</row>
    <row r="908" spans="1:15" ht="15.75" x14ac:dyDescent="0.25">
      <c r="A908" s="45"/>
      <c r="B908" s="45" t="s">
        <v>41</v>
      </c>
      <c r="C908" s="45">
        <v>3.6</v>
      </c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</row>
    <row r="909" spans="1:15" ht="15.75" x14ac:dyDescent="0.25">
      <c r="A909" s="45">
        <v>120</v>
      </c>
      <c r="B909" s="44" t="s">
        <v>218</v>
      </c>
      <c r="C909" s="45">
        <v>250</v>
      </c>
      <c r="D909" s="45">
        <v>11.07</v>
      </c>
      <c r="E909" s="45">
        <v>3.92</v>
      </c>
      <c r="F909" s="45">
        <f>64.3/1000*250</f>
        <v>16.074999999999999</v>
      </c>
      <c r="G909" s="45">
        <f>575/1000*250</f>
        <v>143.75</v>
      </c>
      <c r="H909" s="45">
        <f>0.69/1000*250</f>
        <v>0.17249999999999999</v>
      </c>
      <c r="I909" s="45">
        <f>48.3/100*250</f>
        <v>120.75</v>
      </c>
      <c r="J909" s="45">
        <f>94.2/1000*250</f>
        <v>23.55</v>
      </c>
      <c r="K909" s="45">
        <f>2.9/1000*250</f>
        <v>0.72499999999999998</v>
      </c>
      <c r="L909" s="45">
        <f>179.4/1000*250</f>
        <v>44.85</v>
      </c>
      <c r="M909" s="45">
        <f>628.5/1000*250</f>
        <v>157.125</v>
      </c>
      <c r="N909" s="45">
        <f>175.9/1000*250</f>
        <v>43.975000000000001</v>
      </c>
      <c r="O909" s="45">
        <f>5.71/1000*250</f>
        <v>1.4275</v>
      </c>
    </row>
    <row r="910" spans="1:15" ht="15.75" x14ac:dyDescent="0.25">
      <c r="A910" s="45"/>
      <c r="B910" s="45" t="s">
        <v>77</v>
      </c>
      <c r="C910" s="45">
        <f>450/1000*250</f>
        <v>112.5</v>
      </c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</row>
    <row r="911" spans="1:15" ht="15.75" x14ac:dyDescent="0.25">
      <c r="A911" s="45"/>
      <c r="B911" s="45" t="s">
        <v>36</v>
      </c>
      <c r="C911" s="45">
        <f>42/1000*250</f>
        <v>10.5</v>
      </c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</row>
    <row r="912" spans="1:15" ht="15.75" x14ac:dyDescent="0.25">
      <c r="A912" s="45"/>
      <c r="B912" s="45" t="s">
        <v>37</v>
      </c>
      <c r="C912" s="45">
        <f>39/1000*250</f>
        <v>9.75</v>
      </c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</row>
    <row r="913" spans="1:15" ht="15.75" x14ac:dyDescent="0.25">
      <c r="A913" s="45"/>
      <c r="B913" s="45" t="s">
        <v>23</v>
      </c>
      <c r="C913" s="45">
        <v>5</v>
      </c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</row>
    <row r="914" spans="1:15" ht="15.75" x14ac:dyDescent="0.25">
      <c r="A914" s="45"/>
      <c r="B914" s="45" t="s">
        <v>47</v>
      </c>
      <c r="C914" s="45">
        <v>2</v>
      </c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</row>
    <row r="915" spans="1:15" ht="15.75" x14ac:dyDescent="0.25">
      <c r="A915" s="45"/>
      <c r="B915" s="45" t="s">
        <v>283</v>
      </c>
      <c r="C915" s="45">
        <f>218.2/1000*250</f>
        <v>54.55</v>
      </c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</row>
    <row r="916" spans="1:15" ht="31.5" x14ac:dyDescent="0.25">
      <c r="A916" s="45">
        <v>356</v>
      </c>
      <c r="B916" s="44" t="s">
        <v>219</v>
      </c>
      <c r="C916" s="45">
        <v>100</v>
      </c>
      <c r="D916" s="45">
        <f>18.59/110*100</f>
        <v>16.900000000000002</v>
      </c>
      <c r="E916" s="45">
        <f>5.83/110*100</f>
        <v>5.3</v>
      </c>
      <c r="F916" s="45">
        <f>15.62/110*100</f>
        <v>14.2</v>
      </c>
      <c r="G916" s="45">
        <f>189.2/110*100</f>
        <v>172</v>
      </c>
      <c r="H916" s="45">
        <f>0.26/110*100</f>
        <v>0.23636363636363639</v>
      </c>
      <c r="I916" s="45">
        <f>7.37/110*100</f>
        <v>6.7</v>
      </c>
      <c r="J916" s="45">
        <f>7.26/110*100</f>
        <v>6.6000000000000005</v>
      </c>
      <c r="K916" s="45">
        <f>1.21/110*100</f>
        <v>1.0999999999999999</v>
      </c>
      <c r="L916" s="45">
        <v>20.72</v>
      </c>
      <c r="M916" s="45">
        <f>282.15/110*100</f>
        <v>256.5</v>
      </c>
      <c r="N916" s="45">
        <f>22.44/110*100</f>
        <v>20.400000000000002</v>
      </c>
      <c r="O916" s="45">
        <v>5.01</v>
      </c>
    </row>
    <row r="917" spans="1:15" ht="15.75" x14ac:dyDescent="0.25">
      <c r="A917" s="45"/>
      <c r="B917" s="45" t="s">
        <v>220</v>
      </c>
      <c r="C917" s="45">
        <f>102.3/110*100</f>
        <v>93</v>
      </c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</row>
    <row r="918" spans="1:15" ht="15.75" x14ac:dyDescent="0.25">
      <c r="A918" s="45"/>
      <c r="B918" s="45" t="s">
        <v>41</v>
      </c>
      <c r="C918" s="45">
        <f>8.8/110*100</f>
        <v>8</v>
      </c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</row>
    <row r="919" spans="1:15" ht="15.75" x14ac:dyDescent="0.25">
      <c r="A919" s="45"/>
      <c r="B919" s="45" t="s">
        <v>35</v>
      </c>
      <c r="C919" s="45">
        <f>19.91/110*100</f>
        <v>18.099999999999998</v>
      </c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</row>
    <row r="920" spans="1:15" ht="15.75" x14ac:dyDescent="0.25">
      <c r="A920" s="45"/>
      <c r="B920" s="45" t="s">
        <v>47</v>
      </c>
      <c r="C920" s="45">
        <f>0.77/110*100</f>
        <v>0.70000000000000007</v>
      </c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</row>
    <row r="921" spans="1:15" ht="15.75" x14ac:dyDescent="0.25">
      <c r="A921" s="45"/>
      <c r="B921" s="45" t="s">
        <v>46</v>
      </c>
      <c r="C921" s="45">
        <f>0.9/100*110</f>
        <v>0.9900000000000001</v>
      </c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</row>
    <row r="922" spans="1:15" ht="15.75" x14ac:dyDescent="0.25">
      <c r="A922" s="45"/>
      <c r="B922" s="45" t="s">
        <v>23</v>
      </c>
      <c r="C922" s="45">
        <f>0.99/110*100</f>
        <v>0.89999999999999991</v>
      </c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</row>
    <row r="923" spans="1:15" ht="15.75" x14ac:dyDescent="0.25">
      <c r="A923" s="45">
        <v>377</v>
      </c>
      <c r="B923" s="44" t="s">
        <v>167</v>
      </c>
      <c r="C923" s="45">
        <v>150</v>
      </c>
      <c r="D923" s="45">
        <v>3.15</v>
      </c>
      <c r="E923" s="45">
        <v>6</v>
      </c>
      <c r="F923" s="45">
        <v>9.15</v>
      </c>
      <c r="G923" s="45">
        <v>102</v>
      </c>
      <c r="H923" s="45">
        <v>0.12</v>
      </c>
      <c r="I923" s="45">
        <v>3.75</v>
      </c>
      <c r="J923" s="45">
        <v>29.85</v>
      </c>
      <c r="K923" s="45">
        <v>0.15</v>
      </c>
      <c r="L923" s="45">
        <v>38.25</v>
      </c>
      <c r="M923" s="45">
        <v>77.25</v>
      </c>
      <c r="N923" s="45">
        <v>24.6</v>
      </c>
      <c r="O923" s="45">
        <v>0.87</v>
      </c>
    </row>
    <row r="924" spans="1:15" ht="15.75" x14ac:dyDescent="0.25">
      <c r="A924" s="45"/>
      <c r="B924" s="45" t="s">
        <v>23</v>
      </c>
      <c r="C924" s="45">
        <v>6.75</v>
      </c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</row>
    <row r="925" spans="1:15" ht="15.75" x14ac:dyDescent="0.25">
      <c r="A925" s="45"/>
      <c r="B925" s="45" t="s">
        <v>47</v>
      </c>
      <c r="C925" s="45">
        <v>0.6</v>
      </c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</row>
    <row r="926" spans="1:15" ht="15.75" x14ac:dyDescent="0.25">
      <c r="A926" s="45"/>
      <c r="B926" s="45" t="s">
        <v>77</v>
      </c>
      <c r="C926" s="45">
        <v>126.45</v>
      </c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</row>
    <row r="927" spans="1:15" ht="15.75" x14ac:dyDescent="0.25">
      <c r="A927" s="45"/>
      <c r="B927" s="45" t="s">
        <v>25</v>
      </c>
      <c r="C927" s="45">
        <v>22.5</v>
      </c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</row>
    <row r="928" spans="1:15" ht="15.75" x14ac:dyDescent="0.25">
      <c r="A928" s="45">
        <v>486</v>
      </c>
      <c r="B928" s="44" t="s">
        <v>364</v>
      </c>
      <c r="C928" s="45">
        <v>200</v>
      </c>
      <c r="D928" s="45">
        <v>0.1</v>
      </c>
      <c r="E928" s="45">
        <v>0.1</v>
      </c>
      <c r="F928" s="45">
        <v>11.1</v>
      </c>
      <c r="G928" s="45">
        <v>46</v>
      </c>
      <c r="H928" s="45">
        <v>0.01</v>
      </c>
      <c r="I928" s="45">
        <v>0.6</v>
      </c>
      <c r="J928" s="45">
        <v>0</v>
      </c>
      <c r="K928" s="45">
        <v>0.04</v>
      </c>
      <c r="L928" s="45">
        <v>3.4</v>
      </c>
      <c r="M928" s="45">
        <v>2.1</v>
      </c>
      <c r="N928" s="45">
        <v>1.7</v>
      </c>
      <c r="O928" s="45">
        <v>0.46</v>
      </c>
    </row>
    <row r="929" spans="1:15" ht="15.75" x14ac:dyDescent="0.25">
      <c r="A929" s="45"/>
      <c r="B929" s="45" t="s">
        <v>365</v>
      </c>
      <c r="C929" s="45">
        <v>20</v>
      </c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</row>
    <row r="930" spans="1:15" ht="15.75" x14ac:dyDescent="0.25">
      <c r="A930" s="45"/>
      <c r="B930" s="45" t="s">
        <v>22</v>
      </c>
      <c r="C930" s="45">
        <v>10</v>
      </c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</row>
    <row r="931" spans="1:15" ht="15.75" x14ac:dyDescent="0.25">
      <c r="A931" s="45"/>
      <c r="B931" s="44" t="s">
        <v>107</v>
      </c>
      <c r="C931" s="45">
        <v>40</v>
      </c>
      <c r="D931" s="45">
        <v>3.04</v>
      </c>
      <c r="E931" s="45">
        <v>0.32</v>
      </c>
      <c r="F931" s="45">
        <v>19.68</v>
      </c>
      <c r="G931" s="45">
        <v>94</v>
      </c>
      <c r="H931" s="45">
        <v>0.04</v>
      </c>
      <c r="I931" s="45">
        <v>0</v>
      </c>
      <c r="J931" s="45">
        <v>0</v>
      </c>
      <c r="K931" s="45">
        <v>0.44</v>
      </c>
      <c r="L931" s="45">
        <v>8</v>
      </c>
      <c r="M931" s="45">
        <v>26</v>
      </c>
      <c r="N931" s="45">
        <v>5.6</v>
      </c>
      <c r="O931" s="45">
        <v>0.44</v>
      </c>
    </row>
    <row r="932" spans="1:15" ht="15.75" x14ac:dyDescent="0.25">
      <c r="A932" s="45"/>
      <c r="B932" s="44" t="s">
        <v>73</v>
      </c>
      <c r="C932" s="45">
        <v>30</v>
      </c>
      <c r="D932" s="45">
        <v>2.64</v>
      </c>
      <c r="E932" s="45">
        <v>0.48</v>
      </c>
      <c r="F932" s="45">
        <v>13.36</v>
      </c>
      <c r="G932" s="45">
        <v>69.599999999999994</v>
      </c>
      <c r="H932" s="45">
        <v>7.0000000000000007E-2</v>
      </c>
      <c r="I932" s="45">
        <v>0</v>
      </c>
      <c r="J932" s="45">
        <v>0</v>
      </c>
      <c r="K932" s="45">
        <v>0.56000000000000005</v>
      </c>
      <c r="L932" s="45">
        <v>14</v>
      </c>
      <c r="M932" s="45">
        <v>63.2</v>
      </c>
      <c r="N932" s="45">
        <v>18.8</v>
      </c>
      <c r="O932" s="45">
        <v>1.56</v>
      </c>
    </row>
    <row r="933" spans="1:15" s="7" customFormat="1" ht="15.75" x14ac:dyDescent="0.25">
      <c r="A933" s="44"/>
      <c r="B933" s="44" t="s">
        <v>375</v>
      </c>
      <c r="C933" s="44"/>
      <c r="D933" s="44">
        <f>D934+D935</f>
        <v>1.44</v>
      </c>
      <c r="E933" s="44">
        <f t="shared" ref="E933:O933" si="47">E934+E935</f>
        <v>1.19</v>
      </c>
      <c r="F933" s="44">
        <f t="shared" si="47"/>
        <v>23.39</v>
      </c>
      <c r="G933" s="44">
        <f t="shared" si="47"/>
        <v>241</v>
      </c>
      <c r="H933" s="44">
        <f t="shared" si="47"/>
        <v>0.03</v>
      </c>
      <c r="I933" s="44">
        <f t="shared" si="47"/>
        <v>8</v>
      </c>
      <c r="J933" s="44">
        <f t="shared" si="47"/>
        <v>0</v>
      </c>
      <c r="K933" s="44">
        <f t="shared" si="47"/>
        <v>0.21</v>
      </c>
      <c r="L933" s="44">
        <f t="shared" si="47"/>
        <v>24.8</v>
      </c>
      <c r="M933" s="44">
        <f t="shared" si="47"/>
        <v>10.8</v>
      </c>
      <c r="N933" s="44">
        <f t="shared" si="47"/>
        <v>3</v>
      </c>
      <c r="O933" s="44">
        <f t="shared" si="47"/>
        <v>1.05</v>
      </c>
    </row>
    <row r="934" spans="1:15" ht="15.75" x14ac:dyDescent="0.25">
      <c r="A934" s="45"/>
      <c r="B934" s="44" t="s">
        <v>136</v>
      </c>
      <c r="C934" s="45">
        <v>30</v>
      </c>
      <c r="D934" s="45">
        <v>0.84</v>
      </c>
      <c r="E934" s="45">
        <v>0.99</v>
      </c>
      <c r="F934" s="45">
        <v>23.19</v>
      </c>
      <c r="G934" s="45">
        <v>105</v>
      </c>
      <c r="H934" s="45">
        <v>0.01</v>
      </c>
      <c r="I934" s="45">
        <v>0</v>
      </c>
      <c r="J934" s="45">
        <v>0</v>
      </c>
      <c r="K934" s="45">
        <v>0.21</v>
      </c>
      <c r="L934" s="45">
        <v>4.8</v>
      </c>
      <c r="M934" s="45">
        <v>10.8</v>
      </c>
      <c r="N934" s="45">
        <v>3</v>
      </c>
      <c r="O934" s="45">
        <v>0.45</v>
      </c>
    </row>
    <row r="935" spans="1:15" ht="15.75" x14ac:dyDescent="0.25">
      <c r="A935" s="45"/>
      <c r="B935" s="44" t="s">
        <v>221</v>
      </c>
      <c r="C935" s="45">
        <v>200</v>
      </c>
      <c r="D935" s="45">
        <v>0.6</v>
      </c>
      <c r="E935" s="45">
        <v>0.2</v>
      </c>
      <c r="F935" s="45">
        <v>0.2</v>
      </c>
      <c r="G935" s="45">
        <v>136</v>
      </c>
      <c r="H935" s="45">
        <v>0.02</v>
      </c>
      <c r="I935" s="45">
        <v>8</v>
      </c>
      <c r="J935" s="45">
        <v>0</v>
      </c>
      <c r="K935" s="45">
        <v>0</v>
      </c>
      <c r="L935" s="45">
        <v>20</v>
      </c>
      <c r="M935" s="45">
        <v>0</v>
      </c>
      <c r="N935" s="45">
        <v>0</v>
      </c>
      <c r="O935" s="45">
        <v>0.6</v>
      </c>
    </row>
    <row r="936" spans="1:15" ht="15.75" x14ac:dyDescent="0.25">
      <c r="A936" s="45"/>
      <c r="B936" s="45" t="s">
        <v>222</v>
      </c>
      <c r="C936" s="45">
        <v>200</v>
      </c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</row>
    <row r="937" spans="1:15" s="7" customFormat="1" ht="15.75" x14ac:dyDescent="0.25">
      <c r="A937" s="44"/>
      <c r="B937" s="44" t="s">
        <v>66</v>
      </c>
      <c r="C937" s="44"/>
      <c r="D937" s="44">
        <f t="shared" ref="D937:O937" si="48">D859+D876+D904+D933</f>
        <v>105.99</v>
      </c>
      <c r="E937" s="44">
        <f t="shared" si="48"/>
        <v>74.86</v>
      </c>
      <c r="F937" s="44">
        <f t="shared" si="48"/>
        <v>290.755</v>
      </c>
      <c r="G937" s="44">
        <f t="shared" si="48"/>
        <v>2397.83</v>
      </c>
      <c r="H937" s="44">
        <f t="shared" si="48"/>
        <v>1.5868636363636366</v>
      </c>
      <c r="I937" s="44">
        <f t="shared" si="48"/>
        <v>194.14999999999998</v>
      </c>
      <c r="J937" s="44">
        <f t="shared" si="48"/>
        <v>159.41</v>
      </c>
      <c r="K937" s="44">
        <f t="shared" si="48"/>
        <v>21.005000000000003</v>
      </c>
      <c r="L937" s="44">
        <f t="shared" si="48"/>
        <v>465.47</v>
      </c>
      <c r="M937" s="44">
        <f t="shared" si="48"/>
        <v>1365.7149999999999</v>
      </c>
      <c r="N937" s="44">
        <f t="shared" si="48"/>
        <v>380.72500000000002</v>
      </c>
      <c r="O937" s="44">
        <f t="shared" si="48"/>
        <v>28.1675</v>
      </c>
    </row>
    <row r="938" spans="1:15" ht="15.75" x14ac:dyDescent="0.2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</row>
    <row r="939" spans="1:15" ht="15.75" x14ac:dyDescent="0.2">
      <c r="A939" s="60" t="s">
        <v>236</v>
      </c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</row>
    <row r="940" spans="1:15" ht="63" x14ac:dyDescent="0.2">
      <c r="A940" s="49" t="s">
        <v>237</v>
      </c>
      <c r="B940" s="59" t="s">
        <v>238</v>
      </c>
      <c r="C940" s="59"/>
      <c r="D940" s="50" t="s">
        <v>239</v>
      </c>
      <c r="E940" s="50" t="s">
        <v>240</v>
      </c>
      <c r="F940" s="50" t="s">
        <v>241</v>
      </c>
      <c r="G940" s="50" t="s">
        <v>223</v>
      </c>
      <c r="H940" s="50" t="s">
        <v>242</v>
      </c>
      <c r="I940" s="50" t="s">
        <v>243</v>
      </c>
      <c r="J940" s="50" t="s">
        <v>244</v>
      </c>
      <c r="K940" s="50" t="s">
        <v>245</v>
      </c>
      <c r="L940" s="50" t="s">
        <v>246</v>
      </c>
      <c r="M940" s="50" t="s">
        <v>247</v>
      </c>
      <c r="N940" s="50" t="s">
        <v>248</v>
      </c>
      <c r="O940" s="51" t="s">
        <v>249</v>
      </c>
    </row>
    <row r="941" spans="1:15" ht="15.75" x14ac:dyDescent="0.25">
      <c r="A941" s="52">
        <v>1</v>
      </c>
      <c r="B941" s="56" t="s">
        <v>250</v>
      </c>
      <c r="C941" s="56"/>
      <c r="D941" s="53">
        <f t="shared" ref="D941:O941" si="49">D10+D104+D196+D292+D393+D496+D597+D687+D771+D859</f>
        <v>258.95999999999998</v>
      </c>
      <c r="E941" s="53">
        <f t="shared" si="49"/>
        <v>229.45466666666667</v>
      </c>
      <c r="F941" s="53">
        <f t="shared" si="49"/>
        <v>814.19999999999993</v>
      </c>
      <c r="G941" s="53">
        <f t="shared" si="49"/>
        <v>6059.6</v>
      </c>
      <c r="H941" s="53">
        <f t="shared" si="49"/>
        <v>2.452</v>
      </c>
      <c r="I941" s="53">
        <f t="shared" si="49"/>
        <v>60.772999999999996</v>
      </c>
      <c r="J941" s="53">
        <f t="shared" si="49"/>
        <v>993.14940766550524</v>
      </c>
      <c r="K941" s="53">
        <f t="shared" si="49"/>
        <v>25.361061712010613</v>
      </c>
      <c r="L941" s="53">
        <f t="shared" si="49"/>
        <v>3141.15</v>
      </c>
      <c r="M941" s="53">
        <f t="shared" si="49"/>
        <v>4065.2600000000007</v>
      </c>
      <c r="N941" s="53">
        <f t="shared" si="49"/>
        <v>775.61999999999989</v>
      </c>
      <c r="O941" s="53">
        <f t="shared" si="49"/>
        <v>39.594928998009287</v>
      </c>
    </row>
    <row r="942" spans="1:15" ht="15.75" x14ac:dyDescent="0.25">
      <c r="A942" s="52">
        <v>3</v>
      </c>
      <c r="B942" s="56" t="s">
        <v>251</v>
      </c>
      <c r="C942" s="56"/>
      <c r="D942" s="53">
        <f t="shared" ref="D942:O942" si="50">D27+D125+D220+D309+D413+D521+D614+D708+D784+D876</f>
        <v>330.20000000000005</v>
      </c>
      <c r="E942" s="53">
        <f t="shared" si="50"/>
        <v>275.93700000000001</v>
      </c>
      <c r="F942" s="53">
        <f t="shared" si="50"/>
        <v>924.8599999999999</v>
      </c>
      <c r="G942" s="53">
        <f t="shared" si="50"/>
        <v>7520.93</v>
      </c>
      <c r="H942" s="53">
        <f t="shared" si="50"/>
        <v>4.3101666666666674</v>
      </c>
      <c r="I942" s="53">
        <f t="shared" si="50"/>
        <v>293.005</v>
      </c>
      <c r="J942" s="53">
        <f t="shared" si="50"/>
        <v>808.63885714285698</v>
      </c>
      <c r="K942" s="53">
        <f t="shared" si="50"/>
        <v>67.975000000000009</v>
      </c>
      <c r="L942" s="53">
        <f t="shared" si="50"/>
        <v>1529.88</v>
      </c>
      <c r="M942" s="53">
        <f t="shared" si="50"/>
        <v>4478.6730000000007</v>
      </c>
      <c r="N942" s="53">
        <f t="shared" si="50"/>
        <v>1337.1547619047619</v>
      </c>
      <c r="O942" s="53">
        <f t="shared" si="50"/>
        <v>86.462500000000006</v>
      </c>
    </row>
    <row r="943" spans="1:15" ht="15.75" x14ac:dyDescent="0.25">
      <c r="A943" s="52">
        <v>5</v>
      </c>
      <c r="B943" s="56" t="s">
        <v>252</v>
      </c>
      <c r="C943" s="56"/>
      <c r="D943" s="53">
        <f t="shared" ref="D943:O943" si="51">D63+D153+D252+D346+D443+D551+D639+D731+D816+D904</f>
        <v>345.76000000000005</v>
      </c>
      <c r="E943" s="53">
        <f t="shared" si="51"/>
        <v>262.93000000000006</v>
      </c>
      <c r="F943" s="53">
        <f t="shared" si="51"/>
        <v>880.88066666666657</v>
      </c>
      <c r="G943" s="53">
        <f t="shared" si="51"/>
        <v>7254.005000000001</v>
      </c>
      <c r="H943" s="53">
        <f t="shared" si="51"/>
        <v>25.262746969696966</v>
      </c>
      <c r="I943" s="53">
        <f t="shared" si="51"/>
        <v>407.61090476190475</v>
      </c>
      <c r="J943" s="53">
        <f t="shared" si="51"/>
        <v>589.54333333333341</v>
      </c>
      <c r="K943" s="53">
        <f t="shared" si="51"/>
        <v>61.765333333333331</v>
      </c>
      <c r="L943" s="53">
        <f t="shared" si="51"/>
        <v>1368.7786666666666</v>
      </c>
      <c r="M943" s="53">
        <f t="shared" si="51"/>
        <v>4443.7166666666662</v>
      </c>
      <c r="N943" s="53">
        <f t="shared" si="51"/>
        <v>1200.5116666666665</v>
      </c>
      <c r="O943" s="53">
        <f t="shared" si="51"/>
        <v>76.970666666666659</v>
      </c>
    </row>
    <row r="944" spans="1:15" ht="15.75" x14ac:dyDescent="0.25">
      <c r="A944" s="52">
        <v>4</v>
      </c>
      <c r="B944" s="56" t="s">
        <v>253</v>
      </c>
      <c r="C944" s="56"/>
      <c r="D944" s="53">
        <f t="shared" ref="D944:O944" si="52">D94+D186+D276+D382+D478+D587+D670+D760+D849+D933</f>
        <v>79.319999999999993</v>
      </c>
      <c r="E944" s="53">
        <f t="shared" si="52"/>
        <v>66.389999999999986</v>
      </c>
      <c r="F944" s="53">
        <f t="shared" si="52"/>
        <v>247.59000000000003</v>
      </c>
      <c r="G944" s="53">
        <f t="shared" si="52"/>
        <v>3144.59</v>
      </c>
      <c r="H944" s="53">
        <f t="shared" si="52"/>
        <v>1.5200000000000002</v>
      </c>
      <c r="I944" s="53">
        <f t="shared" si="52"/>
        <v>43.31</v>
      </c>
      <c r="J944" s="53">
        <f t="shared" si="52"/>
        <v>9.26</v>
      </c>
      <c r="K944" s="53">
        <f t="shared" si="52"/>
        <v>4.66</v>
      </c>
      <c r="L944" s="53">
        <f t="shared" si="52"/>
        <v>1483.21</v>
      </c>
      <c r="M944" s="53">
        <f t="shared" si="52"/>
        <v>876.59999999999991</v>
      </c>
      <c r="N944" s="53">
        <f t="shared" si="52"/>
        <v>140.59999999999997</v>
      </c>
      <c r="O944" s="53">
        <f t="shared" si="52"/>
        <v>9.39</v>
      </c>
    </row>
    <row r="945" spans="1:15" ht="16.5" thickBot="1" x14ac:dyDescent="0.3">
      <c r="A945" s="54"/>
      <c r="B945" s="57" t="s">
        <v>254</v>
      </c>
      <c r="C945" s="57"/>
      <c r="D945" s="55">
        <f>SUM(D941:D944)</f>
        <v>1014.24</v>
      </c>
      <c r="E945" s="55">
        <f t="shared" ref="E945:O945" si="53">SUM(E941:E944)</f>
        <v>834.7116666666667</v>
      </c>
      <c r="F945" s="55">
        <f t="shared" si="53"/>
        <v>2867.5306666666665</v>
      </c>
      <c r="G945" s="55">
        <f t="shared" si="53"/>
        <v>23979.125000000004</v>
      </c>
      <c r="H945" s="55">
        <f t="shared" si="53"/>
        <v>33.544913636363638</v>
      </c>
      <c r="I945" s="55">
        <f t="shared" si="53"/>
        <v>804.69890476190471</v>
      </c>
      <c r="J945" s="55">
        <f t="shared" si="53"/>
        <v>2400.5915981416961</v>
      </c>
      <c r="K945" s="55">
        <f t="shared" si="53"/>
        <v>159.76139504534396</v>
      </c>
      <c r="L945" s="55">
        <f t="shared" si="53"/>
        <v>7523.0186666666677</v>
      </c>
      <c r="M945" s="55">
        <f t="shared" si="53"/>
        <v>13864.249666666668</v>
      </c>
      <c r="N945" s="55">
        <f t="shared" si="53"/>
        <v>3453.8864285714285</v>
      </c>
      <c r="O945" s="55">
        <f t="shared" si="53"/>
        <v>212.41809566467595</v>
      </c>
    </row>
    <row r="946" spans="1:15" ht="15.75" x14ac:dyDescent="0.2">
      <c r="A946" s="58" t="s">
        <v>255</v>
      </c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</row>
    <row r="947" spans="1:15" ht="63" x14ac:dyDescent="0.2">
      <c r="A947" s="49" t="s">
        <v>237</v>
      </c>
      <c r="B947" s="59" t="s">
        <v>238</v>
      </c>
      <c r="C947" s="59"/>
      <c r="D947" s="50" t="s">
        <v>239</v>
      </c>
      <c r="E947" s="50" t="s">
        <v>240</v>
      </c>
      <c r="F947" s="50" t="s">
        <v>241</v>
      </c>
      <c r="G947" s="50" t="s">
        <v>223</v>
      </c>
      <c r="H947" s="50" t="s">
        <v>242</v>
      </c>
      <c r="I947" s="50" t="s">
        <v>243</v>
      </c>
      <c r="J947" s="50" t="s">
        <v>244</v>
      </c>
      <c r="K947" s="50" t="s">
        <v>245</v>
      </c>
      <c r="L947" s="50" t="s">
        <v>246</v>
      </c>
      <c r="M947" s="50" t="s">
        <v>247</v>
      </c>
      <c r="N947" s="50" t="s">
        <v>248</v>
      </c>
      <c r="O947" s="51" t="s">
        <v>249</v>
      </c>
    </row>
    <row r="948" spans="1:15" ht="15.75" x14ac:dyDescent="0.25">
      <c r="A948" s="52">
        <v>1</v>
      </c>
      <c r="B948" s="56" t="s">
        <v>250</v>
      </c>
      <c r="C948" s="56"/>
      <c r="D948" s="53">
        <f>D941/10</f>
        <v>25.895999999999997</v>
      </c>
      <c r="E948" s="53">
        <f t="shared" ref="E948:O948" si="54">E941/10</f>
        <v>22.945466666666668</v>
      </c>
      <c r="F948" s="53">
        <f t="shared" si="54"/>
        <v>81.419999999999987</v>
      </c>
      <c r="G948" s="53">
        <f t="shared" si="54"/>
        <v>605.96</v>
      </c>
      <c r="H948" s="53">
        <f t="shared" si="54"/>
        <v>0.2452</v>
      </c>
      <c r="I948" s="53">
        <f t="shared" si="54"/>
        <v>6.0772999999999993</v>
      </c>
      <c r="J948" s="53">
        <f t="shared" si="54"/>
        <v>99.314940766550521</v>
      </c>
      <c r="K948" s="53">
        <f t="shared" si="54"/>
        <v>2.5361061712010615</v>
      </c>
      <c r="L948" s="53">
        <f t="shared" si="54"/>
        <v>314.11500000000001</v>
      </c>
      <c r="M948" s="53">
        <f t="shared" si="54"/>
        <v>406.52600000000007</v>
      </c>
      <c r="N948" s="53">
        <f t="shared" si="54"/>
        <v>77.561999999999983</v>
      </c>
      <c r="O948" s="53">
        <f t="shared" si="54"/>
        <v>3.9594928998009289</v>
      </c>
    </row>
    <row r="949" spans="1:15" ht="15.75" x14ac:dyDescent="0.25">
      <c r="A949" s="52">
        <v>3</v>
      </c>
      <c r="B949" s="56" t="s">
        <v>251</v>
      </c>
      <c r="C949" s="56"/>
      <c r="D949" s="53">
        <f t="shared" ref="D949:O951" si="55">D942/10</f>
        <v>33.020000000000003</v>
      </c>
      <c r="E949" s="53">
        <f t="shared" si="55"/>
        <v>27.593700000000002</v>
      </c>
      <c r="F949" s="53">
        <f t="shared" si="55"/>
        <v>92.48599999999999</v>
      </c>
      <c r="G949" s="53">
        <f t="shared" si="55"/>
        <v>752.09300000000007</v>
      </c>
      <c r="H949" s="53">
        <f t="shared" si="55"/>
        <v>0.43101666666666671</v>
      </c>
      <c r="I949" s="53">
        <f t="shared" si="55"/>
        <v>29.3005</v>
      </c>
      <c r="J949" s="53">
        <f t="shared" si="55"/>
        <v>80.863885714285701</v>
      </c>
      <c r="K949" s="53">
        <f t="shared" si="55"/>
        <v>6.7975000000000012</v>
      </c>
      <c r="L949" s="53">
        <f t="shared" si="55"/>
        <v>152.988</v>
      </c>
      <c r="M949" s="53">
        <f t="shared" si="55"/>
        <v>447.86730000000006</v>
      </c>
      <c r="N949" s="53">
        <f t="shared" si="55"/>
        <v>133.71547619047618</v>
      </c>
      <c r="O949" s="53">
        <f t="shared" si="55"/>
        <v>8.6462500000000002</v>
      </c>
    </row>
    <row r="950" spans="1:15" ht="15.75" x14ac:dyDescent="0.25">
      <c r="A950" s="52">
        <v>5</v>
      </c>
      <c r="B950" s="56" t="s">
        <v>252</v>
      </c>
      <c r="C950" s="56"/>
      <c r="D950" s="53">
        <f t="shared" si="55"/>
        <v>34.576000000000008</v>
      </c>
      <c r="E950" s="53">
        <v>39.158000000000001</v>
      </c>
      <c r="F950" s="53">
        <v>39.158000000000001</v>
      </c>
      <c r="G950" s="53">
        <v>39.158000000000001</v>
      </c>
      <c r="H950" s="53">
        <v>39.158000000000001</v>
      </c>
      <c r="I950" s="53">
        <v>39.158000000000001</v>
      </c>
      <c r="J950" s="53">
        <v>39.158000000000001</v>
      </c>
      <c r="K950" s="53">
        <v>39.158000000000001</v>
      </c>
      <c r="L950" s="53">
        <v>39.158000000000001</v>
      </c>
      <c r="M950" s="53">
        <v>39.158000000000001</v>
      </c>
      <c r="N950" s="53">
        <v>39.158000000000001</v>
      </c>
      <c r="O950" s="53">
        <v>39.158000000000001</v>
      </c>
    </row>
    <row r="951" spans="1:15" ht="15.75" x14ac:dyDescent="0.25">
      <c r="A951" s="52">
        <v>4</v>
      </c>
      <c r="B951" s="56" t="s">
        <v>253</v>
      </c>
      <c r="C951" s="56"/>
      <c r="D951" s="53">
        <f t="shared" si="55"/>
        <v>7.9319999999999995</v>
      </c>
      <c r="E951" s="53">
        <v>7.4960000000000004</v>
      </c>
      <c r="F951" s="53">
        <v>7.4960000000000004</v>
      </c>
      <c r="G951" s="53">
        <v>7.4960000000000004</v>
      </c>
      <c r="H951" s="53">
        <v>7.4960000000000004</v>
      </c>
      <c r="I951" s="53">
        <v>7.4960000000000004</v>
      </c>
      <c r="J951" s="53">
        <v>7.4960000000000004</v>
      </c>
      <c r="K951" s="53">
        <v>7.4960000000000004</v>
      </c>
      <c r="L951" s="53">
        <v>7.4960000000000004</v>
      </c>
      <c r="M951" s="53">
        <v>7.4960000000000004</v>
      </c>
      <c r="N951" s="53">
        <v>7.4960000000000004</v>
      </c>
      <c r="O951" s="53">
        <v>7.4960000000000004</v>
      </c>
    </row>
    <row r="952" spans="1:15" ht="16.5" thickBot="1" x14ac:dyDescent="0.3">
      <c r="A952" s="54"/>
      <c r="B952" s="57" t="s">
        <v>254</v>
      </c>
      <c r="C952" s="57"/>
      <c r="D952" s="55">
        <f>SUM(D948:D951)</f>
        <v>101.42400000000001</v>
      </c>
      <c r="E952" s="55">
        <f t="shared" ref="E952:O952" si="56">SUM(E948:E951)</f>
        <v>97.19316666666667</v>
      </c>
      <c r="F952" s="55">
        <f t="shared" si="56"/>
        <v>220.55999999999997</v>
      </c>
      <c r="G952" s="55">
        <f t="shared" si="56"/>
        <v>1404.7070000000001</v>
      </c>
      <c r="H952" s="55">
        <f t="shared" si="56"/>
        <v>47.330216666666672</v>
      </c>
      <c r="I952" s="55">
        <f t="shared" si="56"/>
        <v>82.03179999999999</v>
      </c>
      <c r="J952" s="55">
        <f t="shared" si="56"/>
        <v>226.83282648083625</v>
      </c>
      <c r="K952" s="55">
        <f t="shared" si="56"/>
        <v>55.987606171201065</v>
      </c>
      <c r="L952" s="55">
        <f t="shared" si="56"/>
        <v>513.75700000000006</v>
      </c>
      <c r="M952" s="55">
        <f t="shared" si="56"/>
        <v>901.04730000000018</v>
      </c>
      <c r="N952" s="55">
        <f t="shared" si="56"/>
        <v>257.93147619047613</v>
      </c>
      <c r="O952" s="55">
        <f t="shared" si="56"/>
        <v>59.259742899800933</v>
      </c>
    </row>
    <row r="953" spans="1:15" ht="15" x14ac:dyDescent="0.25">
      <c r="A953" s="8"/>
      <c r="B953" s="9"/>
      <c r="C953" s="10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</row>
    <row r="954" spans="1:1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1:15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  <row r="1002" spans="1:15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</row>
    <row r="1003" spans="1:15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</row>
    <row r="1004" spans="1:15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</row>
    <row r="1005" spans="1:15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</row>
    <row r="1006" spans="1:15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</row>
    <row r="1007" spans="1:15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</row>
    <row r="1008" spans="1:15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</row>
    <row r="1009" spans="1:15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</row>
    <row r="1010" spans="1:15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</row>
    <row r="1011" spans="1:15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</row>
    <row r="1012" spans="1:15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</row>
    <row r="1013" spans="1:15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</row>
    <row r="1014" spans="1:15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</row>
    <row r="1015" spans="1:15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</row>
    <row r="1016" spans="1:15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</row>
    <row r="1017" spans="1:15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</row>
    <row r="1018" spans="1:15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</row>
    <row r="1019" spans="1:15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</row>
    <row r="1020" spans="1:15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</row>
    <row r="1021" spans="1:15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</row>
    <row r="1022" spans="1:15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</row>
    <row r="1023" spans="1:15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</row>
    <row r="1024" spans="1:15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</row>
    <row r="1025" spans="1:15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</row>
    <row r="1026" spans="1:15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</row>
    <row r="1027" spans="1:15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</row>
    <row r="1028" spans="1:15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</row>
    <row r="1029" spans="1:15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</row>
    <row r="1030" spans="1:15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</row>
    <row r="1031" spans="1:15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</row>
    <row r="1032" spans="1:15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</row>
    <row r="1033" spans="1:15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</row>
    <row r="1034" spans="1:15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</row>
    <row r="1035" spans="1:15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</row>
    <row r="1036" spans="1:15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</row>
    <row r="1037" spans="1:15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</row>
    <row r="1038" spans="1:15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</row>
    <row r="1039" spans="1:15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</row>
    <row r="1040" spans="1:15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</row>
    <row r="1041" spans="1:15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</row>
    <row r="1042" spans="1:15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</row>
    <row r="1043" spans="1:15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</row>
    <row r="1044" spans="1:15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</row>
    <row r="1045" spans="1:15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</row>
    <row r="1046" spans="1:15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</row>
    <row r="1047" spans="1:15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</row>
    <row r="1048" spans="1:15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</row>
    <row r="1049" spans="1:15" x14ac:dyDescent="0.2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</row>
    <row r="1050" spans="1:15" x14ac:dyDescent="0.2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</row>
    <row r="1051" spans="1:15" x14ac:dyDescent="0.2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</row>
    <row r="1052" spans="1:15" x14ac:dyDescent="0.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</row>
    <row r="1053" spans="1:15" x14ac:dyDescent="0.2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</row>
    <row r="1054" spans="1:15" x14ac:dyDescent="0.2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</row>
    <row r="1055" spans="1:15" x14ac:dyDescent="0.2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</row>
    <row r="1056" spans="1:15" x14ac:dyDescent="0.2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</row>
    <row r="1057" spans="1:15" x14ac:dyDescent="0.2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</row>
    <row r="1058" spans="1:15" x14ac:dyDescent="0.2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</row>
    <row r="1059" spans="1:15" x14ac:dyDescent="0.2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</row>
    <row r="1060" spans="1:15" x14ac:dyDescent="0.2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</row>
    <row r="1061" spans="1:15" x14ac:dyDescent="0.2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</row>
    <row r="1062" spans="1:15" x14ac:dyDescent="0.2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</row>
    <row r="1063" spans="1:15" x14ac:dyDescent="0.2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</row>
    <row r="1064" spans="1:15" x14ac:dyDescent="0.2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</row>
    <row r="1065" spans="1:15" x14ac:dyDescent="0.2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1:15" x14ac:dyDescent="0.2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1:15" x14ac:dyDescent="0.2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1:15" x14ac:dyDescent="0.2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1:15" x14ac:dyDescent="0.2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1:15" x14ac:dyDescent="0.2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1:15" x14ac:dyDescent="0.2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1:15" x14ac:dyDescent="0.2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1:14" x14ac:dyDescent="0.2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1:14" x14ac:dyDescent="0.2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1:14" x14ac:dyDescent="0.2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1:14" x14ac:dyDescent="0.2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1:14" x14ac:dyDescent="0.2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1:14" x14ac:dyDescent="0.2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1:14" x14ac:dyDescent="0.2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1:14" x14ac:dyDescent="0.2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1:14" x14ac:dyDescent="0.2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1:14" x14ac:dyDescent="0.2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1:14" x14ac:dyDescent="0.2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1:14" x14ac:dyDescent="0.2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1:14" x14ac:dyDescent="0.2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1:14" x14ac:dyDescent="0.2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1:14" x14ac:dyDescent="0.2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1:14" x14ac:dyDescent="0.2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1:14" x14ac:dyDescent="0.2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1:14" x14ac:dyDescent="0.2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1:14" x14ac:dyDescent="0.2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1:14" x14ac:dyDescent="0.2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1:14" x14ac:dyDescent="0.2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1:14" x14ac:dyDescent="0.2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1:14" x14ac:dyDescent="0.2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1:14" x14ac:dyDescent="0.2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1:14" x14ac:dyDescent="0.2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1:14" x14ac:dyDescent="0.2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1:14" x14ac:dyDescent="0.2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1:14" x14ac:dyDescent="0.2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1:14" x14ac:dyDescent="0.2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1:14" x14ac:dyDescent="0.2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1:14" x14ac:dyDescent="0.2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1:14" x14ac:dyDescent="0.2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1:14" x14ac:dyDescent="0.2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1:14" x14ac:dyDescent="0.2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1:14" x14ac:dyDescent="0.2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1:14" x14ac:dyDescent="0.2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1:14" x14ac:dyDescent="0.2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1:14" x14ac:dyDescent="0.2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1:14" x14ac:dyDescent="0.2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1:14" x14ac:dyDescent="0.2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1:14" x14ac:dyDescent="0.2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1:14" x14ac:dyDescent="0.2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1:14" x14ac:dyDescent="0.2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1:14" x14ac:dyDescent="0.2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1:14" x14ac:dyDescent="0.2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1:14" x14ac:dyDescent="0.2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1:14" x14ac:dyDescent="0.2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1:14" x14ac:dyDescent="0.2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1:14" x14ac:dyDescent="0.2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1:14" x14ac:dyDescent="0.2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1:14" x14ac:dyDescent="0.2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1:14" x14ac:dyDescent="0.2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1:14" x14ac:dyDescent="0.2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1:14" x14ac:dyDescent="0.2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1:14" x14ac:dyDescent="0.2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1:14" x14ac:dyDescent="0.2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1:14" x14ac:dyDescent="0.2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1:14" x14ac:dyDescent="0.2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1:14" x14ac:dyDescent="0.2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1:14" x14ac:dyDescent="0.2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1:14" x14ac:dyDescent="0.2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1:14" x14ac:dyDescent="0.2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1:14" x14ac:dyDescent="0.2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1:14" x14ac:dyDescent="0.2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1:14" x14ac:dyDescent="0.2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1:14" x14ac:dyDescent="0.2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1:14" x14ac:dyDescent="0.2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1:14" x14ac:dyDescent="0.2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1:14" x14ac:dyDescent="0.2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1:14" x14ac:dyDescent="0.2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1:14" x14ac:dyDescent="0.2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1:14" x14ac:dyDescent="0.2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1:14" x14ac:dyDescent="0.2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1:14" x14ac:dyDescent="0.2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1:14" x14ac:dyDescent="0.2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1:14" x14ac:dyDescent="0.2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1:14" x14ac:dyDescent="0.2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1:14" x14ac:dyDescent="0.2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1:14" x14ac:dyDescent="0.2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1:14" x14ac:dyDescent="0.2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1:14" x14ac:dyDescent="0.2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1:14" x14ac:dyDescent="0.2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1:14" x14ac:dyDescent="0.2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</row>
    <row r="1156" spans="1:14" x14ac:dyDescent="0.2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</row>
    <row r="1157" spans="1:14" x14ac:dyDescent="0.2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</row>
    <row r="1158" spans="1:14" x14ac:dyDescent="0.2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</row>
    <row r="1159" spans="1:14" x14ac:dyDescent="0.2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</row>
    <row r="1160" spans="1:14" x14ac:dyDescent="0.2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</row>
    <row r="1161" spans="1:14" x14ac:dyDescent="0.2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</row>
    <row r="1162" spans="1:14" x14ac:dyDescent="0.2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1:14" x14ac:dyDescent="0.2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1:14" x14ac:dyDescent="0.2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</row>
    <row r="1165" spans="1:14" x14ac:dyDescent="0.2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</row>
    <row r="1166" spans="1:14" x14ac:dyDescent="0.2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1:14" x14ac:dyDescent="0.2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</row>
    <row r="1168" spans="1:14" x14ac:dyDescent="0.2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</row>
    <row r="1169" spans="1:14" x14ac:dyDescent="0.2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1:14" x14ac:dyDescent="0.2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</row>
    <row r="1171" spans="1:14" x14ac:dyDescent="0.2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</row>
    <row r="1172" spans="1:14" x14ac:dyDescent="0.2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</row>
    <row r="1173" spans="1:14" x14ac:dyDescent="0.2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</row>
    <row r="1174" spans="1:14" x14ac:dyDescent="0.2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</row>
    <row r="1175" spans="1:14" x14ac:dyDescent="0.2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</row>
    <row r="1176" spans="1:14" x14ac:dyDescent="0.2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</row>
    <row r="1177" spans="1:14" x14ac:dyDescent="0.2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</row>
    <row r="1178" spans="1:14" x14ac:dyDescent="0.2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</row>
    <row r="1179" spans="1:14" x14ac:dyDescent="0.2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</row>
    <row r="1180" spans="1:14" x14ac:dyDescent="0.2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</row>
    <row r="1181" spans="1:14" x14ac:dyDescent="0.2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</row>
    <row r="1182" spans="1:14" x14ac:dyDescent="0.2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</row>
    <row r="1183" spans="1:14" x14ac:dyDescent="0.2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</row>
    <row r="1184" spans="1:14" x14ac:dyDescent="0.2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</row>
    <row r="1185" spans="1:14" x14ac:dyDescent="0.2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</row>
    <row r="1186" spans="1:14" x14ac:dyDescent="0.2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</row>
    <row r="1187" spans="1:14" x14ac:dyDescent="0.2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</row>
    <row r="1188" spans="1:14" x14ac:dyDescent="0.2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</row>
    <row r="1189" spans="1:14" x14ac:dyDescent="0.2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</row>
    <row r="1190" spans="1:14" x14ac:dyDescent="0.2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1:14" x14ac:dyDescent="0.2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</row>
    <row r="1192" spans="1:14" x14ac:dyDescent="0.2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</row>
    <row r="1193" spans="1:14" x14ac:dyDescent="0.2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</row>
    <row r="1194" spans="1:14" x14ac:dyDescent="0.2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</row>
    <row r="1195" spans="1:14" x14ac:dyDescent="0.2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</row>
    <row r="1196" spans="1:14" x14ac:dyDescent="0.2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</row>
    <row r="1197" spans="1:14" x14ac:dyDescent="0.2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</row>
    <row r="1198" spans="1:14" x14ac:dyDescent="0.2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</row>
    <row r="1199" spans="1:14" x14ac:dyDescent="0.2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</row>
    <row r="1200" spans="1:14" x14ac:dyDescent="0.2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</row>
    <row r="1201" spans="1:14" x14ac:dyDescent="0.2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</row>
    <row r="1202" spans="1:14" x14ac:dyDescent="0.2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</row>
    <row r="1203" spans="1:14" x14ac:dyDescent="0.2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</row>
    <row r="1204" spans="1:14" x14ac:dyDescent="0.2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</row>
    <row r="1205" spans="1:14" x14ac:dyDescent="0.2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</row>
    <row r="1206" spans="1:14" x14ac:dyDescent="0.2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</row>
    <row r="1207" spans="1:14" x14ac:dyDescent="0.2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</row>
    <row r="1208" spans="1:14" x14ac:dyDescent="0.2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</row>
    <row r="1209" spans="1:14" x14ac:dyDescent="0.2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</row>
    <row r="1210" spans="1:14" x14ac:dyDescent="0.2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</row>
    <row r="1211" spans="1:14" x14ac:dyDescent="0.2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</row>
    <row r="1212" spans="1:14" x14ac:dyDescent="0.2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</row>
    <row r="1213" spans="1:14" x14ac:dyDescent="0.2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</row>
    <row r="1214" spans="1:14" x14ac:dyDescent="0.2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</row>
    <row r="1215" spans="1:14" x14ac:dyDescent="0.2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</row>
    <row r="1216" spans="1:14" x14ac:dyDescent="0.2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</row>
    <row r="1217" spans="1:14" x14ac:dyDescent="0.2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1:14" x14ac:dyDescent="0.2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</row>
    <row r="1219" spans="1:14" x14ac:dyDescent="0.2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</row>
    <row r="1220" spans="1:14" x14ac:dyDescent="0.2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</row>
    <row r="1221" spans="1:14" x14ac:dyDescent="0.2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</row>
    <row r="1222" spans="1:14" x14ac:dyDescent="0.2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</row>
    <row r="1223" spans="1:14" x14ac:dyDescent="0.2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</row>
    <row r="1224" spans="1:14" x14ac:dyDescent="0.2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</row>
    <row r="1225" spans="1:14" x14ac:dyDescent="0.2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</row>
    <row r="1226" spans="1:14" x14ac:dyDescent="0.2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</row>
    <row r="1227" spans="1:14" x14ac:dyDescent="0.2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</row>
    <row r="1228" spans="1:14" x14ac:dyDescent="0.2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</row>
    <row r="1229" spans="1:14" x14ac:dyDescent="0.2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</row>
    <row r="1230" spans="1:14" x14ac:dyDescent="0.2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</row>
    <row r="1231" spans="1:14" x14ac:dyDescent="0.2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</row>
    <row r="1232" spans="1:14" x14ac:dyDescent="0.2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</row>
    <row r="1233" spans="1:14" x14ac:dyDescent="0.2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</row>
    <row r="1234" spans="1:14" x14ac:dyDescent="0.2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</row>
    <row r="1235" spans="1:14" x14ac:dyDescent="0.2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</row>
    <row r="1236" spans="1:14" x14ac:dyDescent="0.2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</row>
    <row r="1237" spans="1:14" x14ac:dyDescent="0.2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</row>
    <row r="1238" spans="1:14" x14ac:dyDescent="0.2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</row>
    <row r="1239" spans="1:14" x14ac:dyDescent="0.2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</row>
    <row r="1240" spans="1:14" x14ac:dyDescent="0.2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</row>
    <row r="1241" spans="1:14" x14ac:dyDescent="0.2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</row>
    <row r="1242" spans="1:14" x14ac:dyDescent="0.2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</row>
    <row r="1243" spans="1:14" x14ac:dyDescent="0.2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</row>
    <row r="1244" spans="1:14" x14ac:dyDescent="0.2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</row>
    <row r="1245" spans="1:14" x14ac:dyDescent="0.2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</row>
    <row r="1246" spans="1:14" x14ac:dyDescent="0.2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</row>
    <row r="1247" spans="1:14" x14ac:dyDescent="0.2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</row>
    <row r="1248" spans="1:14" x14ac:dyDescent="0.2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</row>
    <row r="1249" spans="1:14" x14ac:dyDescent="0.2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</row>
    <row r="1250" spans="1:14" x14ac:dyDescent="0.2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</row>
    <row r="1251" spans="1:14" x14ac:dyDescent="0.2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</row>
    <row r="1252" spans="1:14" x14ac:dyDescent="0.2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</row>
    <row r="1253" spans="1:14" x14ac:dyDescent="0.2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</row>
    <row r="1254" spans="1:14" x14ac:dyDescent="0.2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</row>
    <row r="1255" spans="1:14" x14ac:dyDescent="0.2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</row>
    <row r="1256" spans="1:14" x14ac:dyDescent="0.2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</row>
    <row r="1257" spans="1:14" x14ac:dyDescent="0.2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</row>
    <row r="1258" spans="1:14" x14ac:dyDescent="0.2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</row>
    <row r="1259" spans="1:14" x14ac:dyDescent="0.2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</row>
    <row r="1260" spans="1:14" x14ac:dyDescent="0.2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</row>
    <row r="1261" spans="1:14" x14ac:dyDescent="0.2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</row>
    <row r="1262" spans="1:14" x14ac:dyDescent="0.2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</row>
    <row r="1263" spans="1:14" x14ac:dyDescent="0.2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</row>
    <row r="1264" spans="1:14" x14ac:dyDescent="0.2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</row>
    <row r="1265" spans="1:14" x14ac:dyDescent="0.2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</row>
    <row r="1266" spans="1:14" x14ac:dyDescent="0.2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</row>
    <row r="1267" spans="1:14" x14ac:dyDescent="0.2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</row>
    <row r="1268" spans="1:14" x14ac:dyDescent="0.2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</row>
    <row r="1269" spans="1:14" x14ac:dyDescent="0.2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</row>
    <row r="1270" spans="1:14" x14ac:dyDescent="0.2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</row>
    <row r="1271" spans="1:14" x14ac:dyDescent="0.2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</row>
    <row r="1272" spans="1:14" x14ac:dyDescent="0.2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</row>
    <row r="1273" spans="1:14" x14ac:dyDescent="0.2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</row>
    <row r="1274" spans="1:14" x14ac:dyDescent="0.2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</row>
    <row r="1275" spans="1:14" x14ac:dyDescent="0.2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</row>
    <row r="1276" spans="1:14" x14ac:dyDescent="0.2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</row>
    <row r="1277" spans="1:14" x14ac:dyDescent="0.2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</row>
    <row r="1278" spans="1:14" x14ac:dyDescent="0.2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</row>
    <row r="1279" spans="1:14" x14ac:dyDescent="0.2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</row>
    <row r="1280" spans="1:14" x14ac:dyDescent="0.2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</row>
    <row r="1281" spans="1:14" x14ac:dyDescent="0.2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</row>
    <row r="1282" spans="1:14" x14ac:dyDescent="0.2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</row>
    <row r="1283" spans="1:14" x14ac:dyDescent="0.2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</row>
    <row r="1284" spans="1:14" x14ac:dyDescent="0.2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</row>
    <row r="1285" spans="1:14" x14ac:dyDescent="0.2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</row>
    <row r="1286" spans="1:14" x14ac:dyDescent="0.2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</row>
    <row r="1287" spans="1:14" x14ac:dyDescent="0.2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</row>
    <row r="1288" spans="1:14" x14ac:dyDescent="0.2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</row>
    <row r="1289" spans="1:14" x14ac:dyDescent="0.2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</row>
    <row r="1290" spans="1:14" x14ac:dyDescent="0.2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</row>
    <row r="1291" spans="1:14" x14ac:dyDescent="0.2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</row>
    <row r="1292" spans="1:14" x14ac:dyDescent="0.2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</row>
    <row r="1293" spans="1:14" x14ac:dyDescent="0.2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</row>
    <row r="1294" spans="1:14" x14ac:dyDescent="0.2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</row>
    <row r="1295" spans="1:14" x14ac:dyDescent="0.2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</row>
    <row r="1296" spans="1:14" x14ac:dyDescent="0.2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</row>
    <row r="1297" spans="1:14" x14ac:dyDescent="0.2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</row>
    <row r="1298" spans="1:14" x14ac:dyDescent="0.2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1:14" x14ac:dyDescent="0.2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</row>
    <row r="1300" spans="1:14" x14ac:dyDescent="0.2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</row>
    <row r="1301" spans="1:14" x14ac:dyDescent="0.2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</row>
    <row r="1302" spans="1:14" x14ac:dyDescent="0.2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</row>
    <row r="1303" spans="1:14" x14ac:dyDescent="0.2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</row>
    <row r="1304" spans="1:14" x14ac:dyDescent="0.2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</row>
    <row r="1305" spans="1:14" x14ac:dyDescent="0.2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</row>
    <row r="1306" spans="1:14" x14ac:dyDescent="0.2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</row>
    <row r="1307" spans="1:14" x14ac:dyDescent="0.2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</row>
    <row r="1308" spans="1:14" x14ac:dyDescent="0.2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</row>
    <row r="1309" spans="1:14" x14ac:dyDescent="0.2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</row>
    <row r="1310" spans="1:14" x14ac:dyDescent="0.2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</row>
    <row r="1311" spans="1:14" x14ac:dyDescent="0.2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</row>
    <row r="1312" spans="1:14" x14ac:dyDescent="0.2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</row>
    <row r="1313" spans="1:14" x14ac:dyDescent="0.2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1:14" x14ac:dyDescent="0.2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</row>
    <row r="1315" spans="1:14" x14ac:dyDescent="0.2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</row>
    <row r="1316" spans="1:14" x14ac:dyDescent="0.2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</row>
    <row r="1317" spans="1:14" x14ac:dyDescent="0.2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</row>
    <row r="1318" spans="1:14" x14ac:dyDescent="0.2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</row>
    <row r="1319" spans="1:14" x14ac:dyDescent="0.2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</row>
    <row r="1320" spans="1:14" x14ac:dyDescent="0.2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</row>
    <row r="1321" spans="1:14" x14ac:dyDescent="0.2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</row>
    <row r="1322" spans="1:14" x14ac:dyDescent="0.2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</row>
    <row r="1323" spans="1:14" x14ac:dyDescent="0.2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</row>
    <row r="1324" spans="1:14" x14ac:dyDescent="0.2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</row>
    <row r="1325" spans="1:14" x14ac:dyDescent="0.2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</row>
    <row r="1326" spans="1:14" x14ac:dyDescent="0.2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</row>
    <row r="1327" spans="1:14" x14ac:dyDescent="0.2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</row>
    <row r="1328" spans="1:14" x14ac:dyDescent="0.2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</row>
    <row r="1329" spans="1:14" x14ac:dyDescent="0.2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</row>
    <row r="1330" spans="1:14" x14ac:dyDescent="0.2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</row>
    <row r="1331" spans="1:14" x14ac:dyDescent="0.2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</row>
    <row r="1332" spans="1:14" x14ac:dyDescent="0.2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</row>
    <row r="1333" spans="1:14" x14ac:dyDescent="0.2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</row>
    <row r="1334" spans="1:14" x14ac:dyDescent="0.2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</row>
    <row r="1335" spans="1:14" x14ac:dyDescent="0.2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</row>
    <row r="1336" spans="1:14" x14ac:dyDescent="0.2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</row>
    <row r="1337" spans="1:14" x14ac:dyDescent="0.2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</row>
    <row r="1338" spans="1:14" x14ac:dyDescent="0.2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</row>
    <row r="1339" spans="1:14" x14ac:dyDescent="0.2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</row>
    <row r="1340" spans="1:14" x14ac:dyDescent="0.2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</row>
    <row r="1341" spans="1:14" x14ac:dyDescent="0.2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</row>
    <row r="1342" spans="1:14" x14ac:dyDescent="0.2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</row>
    <row r="1343" spans="1:14" x14ac:dyDescent="0.2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</row>
    <row r="1344" spans="1:14" x14ac:dyDescent="0.2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</row>
    <row r="1345" spans="1:14" x14ac:dyDescent="0.2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</row>
    <row r="1346" spans="1:14" x14ac:dyDescent="0.2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</row>
    <row r="1347" spans="1:14" x14ac:dyDescent="0.2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</row>
    <row r="1348" spans="1:14" x14ac:dyDescent="0.2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</row>
    <row r="1349" spans="1:14" x14ac:dyDescent="0.2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</row>
    <row r="1350" spans="1:14" x14ac:dyDescent="0.2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</row>
    <row r="1351" spans="1:14" x14ac:dyDescent="0.2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</row>
    <row r="1352" spans="1:14" x14ac:dyDescent="0.2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</row>
    <row r="1353" spans="1:14" x14ac:dyDescent="0.2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</row>
    <row r="1354" spans="1:14" x14ac:dyDescent="0.2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</row>
    <row r="1355" spans="1:14" x14ac:dyDescent="0.2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</row>
    <row r="1356" spans="1:14" x14ac:dyDescent="0.2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</row>
    <row r="1357" spans="1:14" x14ac:dyDescent="0.2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</row>
    <row r="1358" spans="1:14" x14ac:dyDescent="0.2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</row>
    <row r="1359" spans="1:14" x14ac:dyDescent="0.2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</row>
    <row r="1360" spans="1:14" x14ac:dyDescent="0.2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</row>
    <row r="1361" spans="1:14" x14ac:dyDescent="0.2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</row>
    <row r="1362" spans="1:14" x14ac:dyDescent="0.2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</row>
    <row r="1363" spans="1:14" x14ac:dyDescent="0.2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</row>
    <row r="1364" spans="1:14" x14ac:dyDescent="0.2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</row>
    <row r="1365" spans="1:14" x14ac:dyDescent="0.2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</row>
    <row r="1366" spans="1:14" x14ac:dyDescent="0.2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</row>
    <row r="1367" spans="1:14" x14ac:dyDescent="0.2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</row>
    <row r="1368" spans="1:14" x14ac:dyDescent="0.2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</row>
    <row r="1369" spans="1:14" x14ac:dyDescent="0.2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</row>
    <row r="1370" spans="1:14" x14ac:dyDescent="0.2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</row>
    <row r="1371" spans="1:14" x14ac:dyDescent="0.2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</row>
    <row r="1372" spans="1:14" x14ac:dyDescent="0.2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</row>
    <row r="1373" spans="1:14" x14ac:dyDescent="0.2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</row>
    <row r="1374" spans="1:14" x14ac:dyDescent="0.2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</row>
    <row r="1375" spans="1:14" x14ac:dyDescent="0.2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</row>
    <row r="1376" spans="1:14" x14ac:dyDescent="0.2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</row>
    <row r="1377" spans="1:14" x14ac:dyDescent="0.2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</row>
    <row r="1378" spans="1:14" x14ac:dyDescent="0.2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</row>
    <row r="1379" spans="1:14" x14ac:dyDescent="0.2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</row>
    <row r="1380" spans="1:14" x14ac:dyDescent="0.2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</row>
    <row r="1381" spans="1:14" x14ac:dyDescent="0.2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</row>
    <row r="1382" spans="1:14" x14ac:dyDescent="0.2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</row>
    <row r="1383" spans="1:14" x14ac:dyDescent="0.2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</row>
    <row r="1384" spans="1:14" x14ac:dyDescent="0.2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</row>
    <row r="1385" spans="1:14" x14ac:dyDescent="0.2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</row>
    <row r="1386" spans="1:14" x14ac:dyDescent="0.2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</row>
    <row r="1387" spans="1:14" x14ac:dyDescent="0.2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</row>
    <row r="1388" spans="1:14" x14ac:dyDescent="0.2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</row>
    <row r="1389" spans="1:14" x14ac:dyDescent="0.2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</row>
    <row r="1390" spans="1:14" x14ac:dyDescent="0.2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</row>
    <row r="1391" spans="1:14" x14ac:dyDescent="0.2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</row>
    <row r="1392" spans="1:14" x14ac:dyDescent="0.2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</row>
    <row r="1393" spans="1:14" x14ac:dyDescent="0.2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</row>
    <row r="1394" spans="1:14" x14ac:dyDescent="0.2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</row>
    <row r="1395" spans="1:14" x14ac:dyDescent="0.2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</row>
    <row r="1396" spans="1:14" x14ac:dyDescent="0.2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</row>
    <row r="1397" spans="1:14" x14ac:dyDescent="0.2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</row>
    <row r="1398" spans="1:14" x14ac:dyDescent="0.2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</row>
    <row r="1399" spans="1:14" x14ac:dyDescent="0.2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</row>
    <row r="1400" spans="1:14" x14ac:dyDescent="0.2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</row>
    <row r="1401" spans="1:14" x14ac:dyDescent="0.2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</row>
    <row r="1402" spans="1:14" x14ac:dyDescent="0.2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</row>
    <row r="1403" spans="1:14" x14ac:dyDescent="0.2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</row>
    <row r="1404" spans="1:14" x14ac:dyDescent="0.2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</row>
    <row r="1405" spans="1:14" x14ac:dyDescent="0.2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</row>
    <row r="1406" spans="1:14" x14ac:dyDescent="0.2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</row>
    <row r="1407" spans="1:14" x14ac:dyDescent="0.2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</row>
    <row r="1408" spans="1:14" x14ac:dyDescent="0.2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</row>
    <row r="1409" spans="1:14" x14ac:dyDescent="0.2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</row>
    <row r="1410" spans="1:14" x14ac:dyDescent="0.2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</row>
    <row r="1411" spans="1:14" x14ac:dyDescent="0.2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</row>
    <row r="1412" spans="1:14" x14ac:dyDescent="0.2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</row>
    <row r="1413" spans="1:14" x14ac:dyDescent="0.2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</row>
    <row r="1414" spans="1:14" x14ac:dyDescent="0.2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</row>
    <row r="1415" spans="1:14" x14ac:dyDescent="0.2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</row>
    <row r="1416" spans="1:14" x14ac:dyDescent="0.2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</row>
    <row r="1417" spans="1:14" x14ac:dyDescent="0.2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</row>
    <row r="1418" spans="1:14" x14ac:dyDescent="0.2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</row>
    <row r="1419" spans="1:14" x14ac:dyDescent="0.2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</row>
    <row r="1420" spans="1:14" x14ac:dyDescent="0.2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</row>
    <row r="1421" spans="1:14" x14ac:dyDescent="0.2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</row>
    <row r="1422" spans="1:14" x14ac:dyDescent="0.2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</row>
    <row r="1423" spans="1:14" x14ac:dyDescent="0.2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</row>
    <row r="1424" spans="1:14" x14ac:dyDescent="0.2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</row>
    <row r="1425" spans="1:14" x14ac:dyDescent="0.2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</row>
    <row r="1426" spans="1:14" x14ac:dyDescent="0.2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</row>
    <row r="1427" spans="1:14" x14ac:dyDescent="0.2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</row>
    <row r="1428" spans="1:14" x14ac:dyDescent="0.2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</row>
    <row r="1429" spans="1:14" x14ac:dyDescent="0.2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</row>
    <row r="1430" spans="1:14" x14ac:dyDescent="0.2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</row>
    <row r="1431" spans="1:14" x14ac:dyDescent="0.2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</row>
    <row r="1432" spans="1:14" x14ac:dyDescent="0.2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</row>
    <row r="1433" spans="1:14" x14ac:dyDescent="0.2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</row>
    <row r="1434" spans="1:14" x14ac:dyDescent="0.2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</row>
    <row r="1435" spans="1:14" x14ac:dyDescent="0.2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</row>
    <row r="1436" spans="1:14" x14ac:dyDescent="0.2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</row>
    <row r="1437" spans="1:14" x14ac:dyDescent="0.2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</row>
    <row r="1438" spans="1:14" x14ac:dyDescent="0.2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</row>
    <row r="1439" spans="1:14" x14ac:dyDescent="0.2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</row>
    <row r="1440" spans="1:14" x14ac:dyDescent="0.2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</row>
    <row r="1441" spans="1:14" x14ac:dyDescent="0.2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</row>
    <row r="1442" spans="1:14" x14ac:dyDescent="0.2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</row>
    <row r="1443" spans="1:14" x14ac:dyDescent="0.2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</row>
    <row r="1444" spans="1:14" x14ac:dyDescent="0.2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</row>
    <row r="1445" spans="1:14" x14ac:dyDescent="0.2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</row>
    <row r="1446" spans="1:14" x14ac:dyDescent="0.2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</row>
    <row r="1447" spans="1:14" x14ac:dyDescent="0.2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</row>
    <row r="1448" spans="1:14" x14ac:dyDescent="0.2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</row>
    <row r="1449" spans="1:14" x14ac:dyDescent="0.2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</row>
    <row r="1450" spans="1:14" x14ac:dyDescent="0.2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</row>
    <row r="1451" spans="1:14" x14ac:dyDescent="0.2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</row>
    <row r="1452" spans="1:14" x14ac:dyDescent="0.2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</row>
    <row r="1453" spans="1:14" x14ac:dyDescent="0.2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</row>
    <row r="1454" spans="1:14" x14ac:dyDescent="0.2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</row>
    <row r="1455" spans="1:14" x14ac:dyDescent="0.2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</row>
    <row r="1456" spans="1:14" x14ac:dyDescent="0.2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</row>
    <row r="1457" spans="1:14" x14ac:dyDescent="0.2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</row>
    <row r="1458" spans="1:14" x14ac:dyDescent="0.2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</row>
    <row r="1459" spans="1:14" x14ac:dyDescent="0.2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</row>
    <row r="1460" spans="1:14" x14ac:dyDescent="0.2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</row>
    <row r="1461" spans="1:14" x14ac:dyDescent="0.2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</row>
    <row r="1462" spans="1:14" x14ac:dyDescent="0.2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</row>
    <row r="1463" spans="1:14" x14ac:dyDescent="0.2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</row>
    <row r="1464" spans="1:14" x14ac:dyDescent="0.2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</row>
    <row r="1465" spans="1:14" x14ac:dyDescent="0.2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</row>
    <row r="1466" spans="1:14" x14ac:dyDescent="0.2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</row>
    <row r="1467" spans="1:14" x14ac:dyDescent="0.2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</row>
    <row r="1468" spans="1:14" x14ac:dyDescent="0.2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</row>
    <row r="1469" spans="1:14" x14ac:dyDescent="0.2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</row>
    <row r="1470" spans="1:14" x14ac:dyDescent="0.2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</row>
    <row r="1471" spans="1:14" x14ac:dyDescent="0.2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</row>
    <row r="1472" spans="1:14" x14ac:dyDescent="0.2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</row>
    <row r="1473" spans="1:14" x14ac:dyDescent="0.2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</row>
    <row r="1474" spans="1:14" x14ac:dyDescent="0.2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</row>
    <row r="1475" spans="1:14" x14ac:dyDescent="0.2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</row>
    <row r="1476" spans="1:14" x14ac:dyDescent="0.2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</row>
    <row r="1477" spans="1:14" x14ac:dyDescent="0.2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</row>
    <row r="1478" spans="1:14" x14ac:dyDescent="0.2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</row>
    <row r="1479" spans="1:14" x14ac:dyDescent="0.2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</row>
    <row r="1480" spans="1:14" x14ac:dyDescent="0.2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</row>
    <row r="1481" spans="1:14" x14ac:dyDescent="0.2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</row>
    <row r="1482" spans="1:14" x14ac:dyDescent="0.2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</row>
    <row r="1483" spans="1:14" x14ac:dyDescent="0.2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</row>
    <row r="1484" spans="1:14" x14ac:dyDescent="0.2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</row>
    <row r="1485" spans="1:14" x14ac:dyDescent="0.2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</row>
    <row r="1486" spans="1:14" x14ac:dyDescent="0.2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</row>
    <row r="1487" spans="1:14" x14ac:dyDescent="0.2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</row>
    <row r="1488" spans="1:14" x14ac:dyDescent="0.2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</row>
    <row r="1489" spans="1:14" x14ac:dyDescent="0.2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</row>
    <row r="1490" spans="1:14" x14ac:dyDescent="0.2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</row>
    <row r="1491" spans="1:14" x14ac:dyDescent="0.2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</row>
    <row r="1492" spans="1:14" x14ac:dyDescent="0.2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</row>
    <row r="1493" spans="1:14" x14ac:dyDescent="0.2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</row>
    <row r="1494" spans="1:14" x14ac:dyDescent="0.2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</row>
    <row r="1495" spans="1:14" x14ac:dyDescent="0.2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</row>
    <row r="1496" spans="1:14" x14ac:dyDescent="0.2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</row>
    <row r="1497" spans="1:14" x14ac:dyDescent="0.2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</row>
    <row r="1498" spans="1:14" x14ac:dyDescent="0.2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</row>
    <row r="1499" spans="1:14" x14ac:dyDescent="0.2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</row>
    <row r="1500" spans="1:14" x14ac:dyDescent="0.2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</row>
    <row r="1501" spans="1:14" x14ac:dyDescent="0.2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</row>
    <row r="1502" spans="1:14" x14ac:dyDescent="0.2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</row>
    <row r="1503" spans="1:14" x14ac:dyDescent="0.2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</row>
    <row r="1504" spans="1:14" x14ac:dyDescent="0.2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</row>
    <row r="1505" spans="1:14" x14ac:dyDescent="0.2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</row>
    <row r="1506" spans="1:14" x14ac:dyDescent="0.2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</row>
    <row r="1507" spans="1:14" x14ac:dyDescent="0.2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</row>
    <row r="1508" spans="1:14" x14ac:dyDescent="0.2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</row>
    <row r="1509" spans="1:14" x14ac:dyDescent="0.2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</row>
    <row r="1510" spans="1:14" x14ac:dyDescent="0.2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</row>
    <row r="1511" spans="1:14" x14ac:dyDescent="0.2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</row>
    <row r="1512" spans="1:14" x14ac:dyDescent="0.2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</row>
    <row r="1513" spans="1:14" x14ac:dyDescent="0.2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</row>
    <row r="1514" spans="1:14" x14ac:dyDescent="0.2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</row>
    <row r="1515" spans="1:14" x14ac:dyDescent="0.2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</row>
    <row r="1516" spans="1:14" x14ac:dyDescent="0.2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</row>
    <row r="1517" spans="1:14" x14ac:dyDescent="0.2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</row>
    <row r="1518" spans="1:14" x14ac:dyDescent="0.2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</row>
    <row r="1519" spans="1:14" x14ac:dyDescent="0.2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</row>
    <row r="1520" spans="1:14" x14ac:dyDescent="0.2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</row>
    <row r="1521" spans="1:14" x14ac:dyDescent="0.2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</row>
    <row r="1522" spans="1:14" x14ac:dyDescent="0.2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</row>
    <row r="1523" spans="1:14" x14ac:dyDescent="0.2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</row>
    <row r="1524" spans="1:14" x14ac:dyDescent="0.2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</row>
    <row r="1525" spans="1:14" x14ac:dyDescent="0.2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</row>
    <row r="1526" spans="1:14" x14ac:dyDescent="0.2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</row>
    <row r="1527" spans="1:14" x14ac:dyDescent="0.2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</row>
    <row r="1528" spans="1:14" x14ac:dyDescent="0.2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</row>
    <row r="1529" spans="1:14" x14ac:dyDescent="0.2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</row>
    <row r="1530" spans="1:14" x14ac:dyDescent="0.2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</row>
    <row r="1531" spans="1:14" x14ac:dyDescent="0.2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</row>
    <row r="1532" spans="1:14" x14ac:dyDescent="0.2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</row>
    <row r="1533" spans="1:14" x14ac:dyDescent="0.2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</row>
    <row r="1534" spans="1:14" x14ac:dyDescent="0.2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</row>
    <row r="1535" spans="1:14" x14ac:dyDescent="0.2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</row>
    <row r="1536" spans="1:14" x14ac:dyDescent="0.2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</row>
    <row r="1537" spans="1:14" x14ac:dyDescent="0.2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</row>
    <row r="1538" spans="1:14" x14ac:dyDescent="0.2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</row>
    <row r="1539" spans="1:14" x14ac:dyDescent="0.2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</row>
    <row r="1540" spans="1:14" x14ac:dyDescent="0.2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</row>
    <row r="1541" spans="1:14" x14ac:dyDescent="0.2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</row>
    <row r="1542" spans="1:14" x14ac:dyDescent="0.2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</row>
    <row r="1543" spans="1:14" x14ac:dyDescent="0.2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</row>
    <row r="1544" spans="1:14" x14ac:dyDescent="0.2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</row>
    <row r="1545" spans="1:14" x14ac:dyDescent="0.2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</row>
    <row r="1546" spans="1:14" x14ac:dyDescent="0.2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</row>
    <row r="1547" spans="1:14" x14ac:dyDescent="0.2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</row>
    <row r="1548" spans="1:14" x14ac:dyDescent="0.2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</row>
    <row r="1549" spans="1:14" x14ac:dyDescent="0.2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</row>
    <row r="1550" spans="1:14" x14ac:dyDescent="0.2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</row>
    <row r="1551" spans="1:14" x14ac:dyDescent="0.2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</row>
    <row r="1552" spans="1:14" x14ac:dyDescent="0.2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</row>
    <row r="1553" spans="1:14" x14ac:dyDescent="0.2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</row>
    <row r="1554" spans="1:14" x14ac:dyDescent="0.2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</row>
    <row r="1555" spans="1:14" x14ac:dyDescent="0.2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</row>
    <row r="1556" spans="1:14" x14ac:dyDescent="0.2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</row>
    <row r="1557" spans="1:14" x14ac:dyDescent="0.2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</row>
    <row r="1558" spans="1:14" x14ac:dyDescent="0.2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</row>
    <row r="1559" spans="1:14" x14ac:dyDescent="0.2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</row>
    <row r="1560" spans="1:14" x14ac:dyDescent="0.2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</row>
    <row r="1561" spans="1:14" x14ac:dyDescent="0.2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</row>
    <row r="1562" spans="1:14" x14ac:dyDescent="0.2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</row>
    <row r="1563" spans="1:14" x14ac:dyDescent="0.2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</row>
    <row r="1564" spans="1:14" x14ac:dyDescent="0.2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</row>
    <row r="1565" spans="1:14" x14ac:dyDescent="0.2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</row>
    <row r="1566" spans="1:14" x14ac:dyDescent="0.2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</row>
    <row r="1567" spans="1:14" x14ac:dyDescent="0.2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</row>
    <row r="1568" spans="1:14" x14ac:dyDescent="0.2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</row>
    <row r="1569" spans="1:14" x14ac:dyDescent="0.2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</row>
    <row r="1570" spans="1:14" x14ac:dyDescent="0.2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</row>
    <row r="1571" spans="1:14" x14ac:dyDescent="0.2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</row>
    <row r="1572" spans="1:14" x14ac:dyDescent="0.2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</row>
    <row r="1573" spans="1:14" x14ac:dyDescent="0.2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</row>
    <row r="1574" spans="1:14" x14ac:dyDescent="0.2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</row>
    <row r="1575" spans="1:14" x14ac:dyDescent="0.2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</row>
    <row r="1576" spans="1:14" x14ac:dyDescent="0.2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</row>
    <row r="1577" spans="1:14" x14ac:dyDescent="0.2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</row>
    <row r="1578" spans="1:14" x14ac:dyDescent="0.2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</row>
    <row r="1579" spans="1:14" x14ac:dyDescent="0.2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</row>
    <row r="1580" spans="1:14" x14ac:dyDescent="0.2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</row>
    <row r="1581" spans="1:14" x14ac:dyDescent="0.2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</row>
    <row r="1582" spans="1:14" x14ac:dyDescent="0.2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</row>
    <row r="1583" spans="1:14" x14ac:dyDescent="0.2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</row>
    <row r="1584" spans="1:14" x14ac:dyDescent="0.2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</row>
    <row r="1585" spans="1:14" x14ac:dyDescent="0.2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</row>
    <row r="1586" spans="1:14" x14ac:dyDescent="0.2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</row>
    <row r="1587" spans="1:14" x14ac:dyDescent="0.2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</row>
    <row r="1588" spans="1:14" x14ac:dyDescent="0.2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</row>
    <row r="1589" spans="1:14" x14ac:dyDescent="0.2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</row>
    <row r="1590" spans="1:14" x14ac:dyDescent="0.2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</row>
    <row r="1591" spans="1:14" x14ac:dyDescent="0.2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</row>
    <row r="1592" spans="1:14" x14ac:dyDescent="0.2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</row>
    <row r="1593" spans="1:14" x14ac:dyDescent="0.2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</row>
    <row r="1594" spans="1:14" x14ac:dyDescent="0.2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</row>
    <row r="1595" spans="1:14" x14ac:dyDescent="0.2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</row>
    <row r="1596" spans="1:14" x14ac:dyDescent="0.2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</row>
    <row r="1597" spans="1:14" x14ac:dyDescent="0.2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</row>
  </sheetData>
  <mergeCells count="85">
    <mergeCell ref="H769:K769"/>
    <mergeCell ref="L769:O769"/>
    <mergeCell ref="A857:A858"/>
    <mergeCell ref="B857:B858"/>
    <mergeCell ref="C857:C858"/>
    <mergeCell ref="D857:F857"/>
    <mergeCell ref="G857:G858"/>
    <mergeCell ref="H857:K857"/>
    <mergeCell ref="L857:O857"/>
    <mergeCell ref="A769:A770"/>
    <mergeCell ref="B769:B770"/>
    <mergeCell ref="C769:C770"/>
    <mergeCell ref="D769:F769"/>
    <mergeCell ref="G769:G770"/>
    <mergeCell ref="H595:K595"/>
    <mergeCell ref="L595:O595"/>
    <mergeCell ref="A685:A686"/>
    <mergeCell ref="B685:B686"/>
    <mergeCell ref="C685:C686"/>
    <mergeCell ref="D685:F685"/>
    <mergeCell ref="G685:G686"/>
    <mergeCell ref="H685:K685"/>
    <mergeCell ref="L685:O685"/>
    <mergeCell ref="A595:A596"/>
    <mergeCell ref="B595:B596"/>
    <mergeCell ref="C595:C596"/>
    <mergeCell ref="D595:F595"/>
    <mergeCell ref="G595:G596"/>
    <mergeCell ref="H102:K102"/>
    <mergeCell ref="L102:O102"/>
    <mergeCell ref="A194:A195"/>
    <mergeCell ref="B194:B195"/>
    <mergeCell ref="C194:C195"/>
    <mergeCell ref="D194:F194"/>
    <mergeCell ref="G194:G195"/>
    <mergeCell ref="H194:K194"/>
    <mergeCell ref="L194:O194"/>
    <mergeCell ref="A102:A103"/>
    <mergeCell ref="B102:B103"/>
    <mergeCell ref="C102:C103"/>
    <mergeCell ref="D102:F102"/>
    <mergeCell ref="G102:G103"/>
    <mergeCell ref="A3:O3"/>
    <mergeCell ref="A8:A9"/>
    <mergeCell ref="B8:B9"/>
    <mergeCell ref="C8:C9"/>
    <mergeCell ref="D8:F8"/>
    <mergeCell ref="G8:G9"/>
    <mergeCell ref="H8:K8"/>
    <mergeCell ref="L8:O8"/>
    <mergeCell ref="H290:K290"/>
    <mergeCell ref="L290:O290"/>
    <mergeCell ref="A391:A392"/>
    <mergeCell ref="B391:B392"/>
    <mergeCell ref="C391:C392"/>
    <mergeCell ref="D391:F391"/>
    <mergeCell ref="G391:G392"/>
    <mergeCell ref="H391:K391"/>
    <mergeCell ref="L391:O391"/>
    <mergeCell ref="A290:A291"/>
    <mergeCell ref="B290:B291"/>
    <mergeCell ref="C290:C291"/>
    <mergeCell ref="D290:F290"/>
    <mergeCell ref="G290:G291"/>
    <mergeCell ref="H494:K494"/>
    <mergeCell ref="L494:O494"/>
    <mergeCell ref="A494:A495"/>
    <mergeCell ref="B494:B495"/>
    <mergeCell ref="C494:C495"/>
    <mergeCell ref="D494:F494"/>
    <mergeCell ref="G494:G495"/>
    <mergeCell ref="A939:O939"/>
    <mergeCell ref="B940:C940"/>
    <mergeCell ref="B941:C941"/>
    <mergeCell ref="B942:C942"/>
    <mergeCell ref="B943:C943"/>
    <mergeCell ref="B949:C949"/>
    <mergeCell ref="B950:C950"/>
    <mergeCell ref="B951:C951"/>
    <mergeCell ref="B952:C952"/>
    <mergeCell ref="B944:C944"/>
    <mergeCell ref="B945:C945"/>
    <mergeCell ref="A946:O946"/>
    <mergeCell ref="B947:C947"/>
    <mergeCell ref="B948:C948"/>
  </mergeCells>
  <pageMargins left="0.39370078740157483" right="0.39370078740157483" top="0.39370078740157483" bottom="0.39370078740157483" header="0.31496062992125984" footer="0.31496062992125984"/>
  <pageSetup paperSize="9" scale="86" fitToHeight="0" orientation="landscape" r:id="rId1"/>
  <rowBreaks count="10" manualBreakCount="10">
    <brk id="98" max="14" man="1"/>
    <brk id="190" max="14" man="1"/>
    <brk id="286" max="14" man="1"/>
    <brk id="387" max="14" man="1"/>
    <brk id="490" max="14" man="1"/>
    <brk id="591" max="14" man="1"/>
    <brk id="681" max="14" man="1"/>
    <brk id="765" max="14" man="1"/>
    <brk id="853" max="14" man="1"/>
    <brk id="93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1"/>
  <sheetViews>
    <sheetView zoomScale="124" zoomScaleNormal="124" workbookViewId="0">
      <selection activeCell="M46" sqref="M46"/>
    </sheetView>
  </sheetViews>
  <sheetFormatPr defaultRowHeight="15.75" x14ac:dyDescent="0.25"/>
  <cols>
    <col min="1" max="1" width="4.28515625" style="13" customWidth="1"/>
    <col min="2" max="2" width="39.42578125" style="13" customWidth="1"/>
    <col min="3" max="3" width="14.5703125" style="14" customWidth="1"/>
    <col min="4" max="13" width="10.42578125" style="13" customWidth="1"/>
    <col min="14" max="15" width="13.7109375" style="13" customWidth="1"/>
    <col min="16" max="16" width="15.28515625" style="13" customWidth="1"/>
    <col min="17" max="1025" width="9.140625" style="13"/>
    <col min="1026" max="16384" width="9.140625" style="12"/>
  </cols>
  <sheetData>
    <row r="1" spans="1:1025" ht="18" customHeight="1" x14ac:dyDescent="0.25">
      <c r="A1" s="67" t="s">
        <v>321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T1" s="12"/>
    </row>
    <row r="2" spans="1:1025" ht="30.75" customHeight="1" x14ac:dyDescent="0.25">
      <c r="A2" s="68" t="s">
        <v>280</v>
      </c>
      <c r="B2" s="77" t="s">
        <v>279</v>
      </c>
      <c r="C2" s="68" t="s">
        <v>278</v>
      </c>
      <c r="D2" s="68" t="s">
        <v>277</v>
      </c>
      <c r="E2" s="68"/>
      <c r="F2" s="68"/>
      <c r="G2" s="68"/>
      <c r="H2" s="68"/>
      <c r="I2" s="68"/>
      <c r="J2" s="68"/>
      <c r="K2" s="68"/>
      <c r="L2" s="68"/>
      <c r="M2" s="68"/>
      <c r="N2" s="72" t="s">
        <v>327</v>
      </c>
      <c r="O2" s="72" t="s">
        <v>276</v>
      </c>
      <c r="P2" s="68" t="s">
        <v>275</v>
      </c>
      <c r="T2" s="15"/>
    </row>
    <row r="3" spans="1:1025" x14ac:dyDescent="0.25">
      <c r="A3" s="75"/>
      <c r="B3" s="78"/>
      <c r="C3" s="76"/>
      <c r="D3" s="69" t="s">
        <v>319</v>
      </c>
      <c r="E3" s="70"/>
      <c r="F3" s="70"/>
      <c r="G3" s="70"/>
      <c r="H3" s="71"/>
      <c r="I3" s="69" t="s">
        <v>320</v>
      </c>
      <c r="J3" s="70"/>
      <c r="K3" s="70"/>
      <c r="L3" s="70"/>
      <c r="M3" s="71"/>
      <c r="N3" s="73"/>
      <c r="O3" s="73"/>
      <c r="P3" s="75"/>
      <c r="T3" s="15"/>
    </row>
    <row r="4" spans="1:1025" x14ac:dyDescent="0.25">
      <c r="A4" s="76"/>
      <c r="B4" s="79"/>
      <c r="C4" s="36" t="s">
        <v>281</v>
      </c>
      <c r="D4" s="37">
        <v>1</v>
      </c>
      <c r="E4" s="37">
        <v>2</v>
      </c>
      <c r="F4" s="37">
        <v>3</v>
      </c>
      <c r="G4" s="37">
        <v>4</v>
      </c>
      <c r="H4" s="37">
        <v>5</v>
      </c>
      <c r="I4" s="37">
        <v>6</v>
      </c>
      <c r="J4" s="37">
        <v>7</v>
      </c>
      <c r="K4" s="37">
        <v>8</v>
      </c>
      <c r="L4" s="37">
        <v>9</v>
      </c>
      <c r="M4" s="37">
        <v>10</v>
      </c>
      <c r="N4" s="74"/>
      <c r="O4" s="74"/>
      <c r="P4" s="76"/>
    </row>
    <row r="5" spans="1:1025" hidden="1" x14ac:dyDescent="0.25">
      <c r="A5" s="16" t="s">
        <v>303</v>
      </c>
      <c r="B5" s="19" t="s">
        <v>304</v>
      </c>
      <c r="C5" s="19" t="s">
        <v>305</v>
      </c>
      <c r="D5" s="17" t="s">
        <v>306</v>
      </c>
      <c r="E5" s="17" t="s">
        <v>307</v>
      </c>
      <c r="F5" s="17" t="s">
        <v>308</v>
      </c>
      <c r="G5" s="17" t="s">
        <v>309</v>
      </c>
      <c r="H5" s="17" t="s">
        <v>310</v>
      </c>
      <c r="I5" s="17" t="s">
        <v>311</v>
      </c>
      <c r="J5" s="17" t="s">
        <v>312</v>
      </c>
      <c r="K5" s="17" t="s">
        <v>313</v>
      </c>
      <c r="L5" s="17" t="s">
        <v>314</v>
      </c>
      <c r="M5" s="17" t="s">
        <v>315</v>
      </c>
      <c r="N5" s="17" t="s">
        <v>316</v>
      </c>
      <c r="O5" s="17" t="s">
        <v>317</v>
      </c>
      <c r="P5" s="18" t="s">
        <v>318</v>
      </c>
    </row>
    <row r="6" spans="1:1025" s="21" customFormat="1" ht="12.95" customHeight="1" x14ac:dyDescent="0.25">
      <c r="A6" s="22">
        <v>1</v>
      </c>
      <c r="B6" s="38" t="s">
        <v>274</v>
      </c>
      <c r="C6" s="23">
        <v>80</v>
      </c>
      <c r="D6" s="24">
        <v>60</v>
      </c>
      <c r="E6" s="24">
        <v>60</v>
      </c>
      <c r="F6" s="24">
        <v>60</v>
      </c>
      <c r="G6" s="24">
        <v>60</v>
      </c>
      <c r="H6" s="24">
        <v>60</v>
      </c>
      <c r="I6" s="24">
        <v>60</v>
      </c>
      <c r="J6" s="24">
        <v>60</v>
      </c>
      <c r="K6" s="24">
        <v>60</v>
      </c>
      <c r="L6" s="24">
        <v>60</v>
      </c>
      <c r="M6" s="24">
        <v>60</v>
      </c>
      <c r="N6" s="24">
        <f t="shared" ref="N6:N22" si="0">SUM(D6:M6)</f>
        <v>600</v>
      </c>
      <c r="O6" s="24">
        <f t="shared" ref="O6:O56" si="1">N6/10</f>
        <v>60</v>
      </c>
      <c r="P6" s="25">
        <f t="shared" ref="P6:P56" si="2">O6-C6</f>
        <v>-20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</row>
    <row r="7" spans="1:1025" s="21" customFormat="1" ht="12.95" customHeight="1" x14ac:dyDescent="0.25">
      <c r="A7" s="26"/>
      <c r="B7" s="39" t="s">
        <v>324</v>
      </c>
      <c r="C7" s="27">
        <v>80</v>
      </c>
      <c r="D7" s="28">
        <v>30</v>
      </c>
      <c r="E7" s="28">
        <v>30</v>
      </c>
      <c r="F7" s="28">
        <v>30</v>
      </c>
      <c r="G7" s="28">
        <v>30</v>
      </c>
      <c r="H7" s="28">
        <v>30</v>
      </c>
      <c r="I7" s="28">
        <v>30</v>
      </c>
      <c r="J7" s="28">
        <v>30</v>
      </c>
      <c r="K7" s="28">
        <v>30</v>
      </c>
      <c r="L7" s="28">
        <v>30</v>
      </c>
      <c r="M7" s="28">
        <v>30</v>
      </c>
      <c r="N7" s="28">
        <v>300</v>
      </c>
      <c r="O7" s="28">
        <v>30</v>
      </c>
      <c r="P7" s="29">
        <f>O7-C7</f>
        <v>-50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</row>
    <row r="8" spans="1:1025" s="21" customFormat="1" ht="12.95" customHeight="1" x14ac:dyDescent="0.25">
      <c r="A8" s="22">
        <v>2</v>
      </c>
      <c r="B8" s="38" t="s">
        <v>107</v>
      </c>
      <c r="C8" s="23">
        <v>150</v>
      </c>
      <c r="D8" s="24">
        <f>15+40+40</f>
        <v>95</v>
      </c>
      <c r="E8" s="24">
        <v>80</v>
      </c>
      <c r="F8" s="24">
        <f>20+40+40</f>
        <v>100</v>
      </c>
      <c r="G8" s="24">
        <v>100</v>
      </c>
      <c r="H8" s="24">
        <f>20+40+14.85+40</f>
        <v>114.85</v>
      </c>
      <c r="I8" s="24">
        <v>86.42</v>
      </c>
      <c r="J8" s="24">
        <v>100</v>
      </c>
      <c r="K8" s="24">
        <v>80</v>
      </c>
      <c r="L8" s="24">
        <v>80</v>
      </c>
      <c r="M8" s="24">
        <v>95.2</v>
      </c>
      <c r="N8" s="24">
        <f t="shared" si="0"/>
        <v>931.47</v>
      </c>
      <c r="O8" s="24">
        <f t="shared" si="1"/>
        <v>93.147000000000006</v>
      </c>
      <c r="P8" s="25">
        <f t="shared" si="2"/>
        <v>-56.852999999999994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</row>
    <row r="9" spans="1:1025" s="21" customFormat="1" ht="12.95" customHeight="1" x14ac:dyDescent="0.25">
      <c r="A9" s="26"/>
      <c r="B9" s="39" t="s">
        <v>27</v>
      </c>
      <c r="C9" s="27">
        <v>150</v>
      </c>
      <c r="D9" s="28">
        <v>40</v>
      </c>
      <c r="E9" s="28">
        <v>40</v>
      </c>
      <c r="F9" s="28">
        <v>40</v>
      </c>
      <c r="G9" s="28">
        <v>40</v>
      </c>
      <c r="H9" s="28">
        <f>40+7.2</f>
        <v>47.2</v>
      </c>
      <c r="I9" s="28">
        <v>40</v>
      </c>
      <c r="J9" s="28">
        <v>40</v>
      </c>
      <c r="K9" s="28">
        <f>11.2+40</f>
        <v>51.2</v>
      </c>
      <c r="L9" s="28">
        <v>40</v>
      </c>
      <c r="M9" s="28">
        <v>40</v>
      </c>
      <c r="N9" s="28">
        <f>Таблица4[[#This Row],[Столбец4]]+Таблица4[[#This Row],[Столбец5]]+Таблица4[[#This Row],[Столбец6]]+Таблица4[[#This Row],[Столбец7]]+Таблица4[[#This Row],[Столбец8]]+Таблица4[[#This Row],[Столбец9]]+Таблица4[[#This Row],[Столбец10]]+Таблица4[[#This Row],[Столбец11]]+Таблица4[[#This Row],[Столбец12]]+Таблица4[[#This Row],[Столбец13]]</f>
        <v>418.4</v>
      </c>
      <c r="O9" s="28">
        <f>Таблица4[[#This Row],[Столбец14]]/10</f>
        <v>41.839999999999996</v>
      </c>
      <c r="P9" s="29">
        <f>O9-C9</f>
        <v>-108.16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  <c r="AMK9" s="20"/>
    </row>
    <row r="10" spans="1:1025" s="21" customFormat="1" ht="12.95" customHeight="1" x14ac:dyDescent="0.25">
      <c r="A10" s="22">
        <v>3</v>
      </c>
      <c r="B10" s="38" t="s">
        <v>229</v>
      </c>
      <c r="C10" s="23">
        <v>15</v>
      </c>
      <c r="D10" s="24">
        <v>1.75</v>
      </c>
      <c r="E10" s="24">
        <v>1.25</v>
      </c>
      <c r="F10" s="24">
        <f>7.7+1.31</f>
        <v>9.01</v>
      </c>
      <c r="G10" s="24">
        <v>0</v>
      </c>
      <c r="H10" s="24">
        <v>0</v>
      </c>
      <c r="I10" s="24">
        <f>3.08+2.8</f>
        <v>5.88</v>
      </c>
      <c r="J10" s="24">
        <v>0</v>
      </c>
      <c r="K10" s="24">
        <v>3.54</v>
      </c>
      <c r="L10" s="24">
        <f>13.6+2.8</f>
        <v>16.399999999999999</v>
      </c>
      <c r="M10" s="24">
        <v>0</v>
      </c>
      <c r="N10" s="24">
        <f t="shared" si="0"/>
        <v>37.83</v>
      </c>
      <c r="O10" s="24">
        <f t="shared" si="1"/>
        <v>3.7829999999999999</v>
      </c>
      <c r="P10" s="25">
        <f t="shared" si="2"/>
        <v>-11.217000000000001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</row>
    <row r="11" spans="1:1025" s="21" customFormat="1" ht="12.95" customHeight="1" x14ac:dyDescent="0.25">
      <c r="A11" s="26"/>
      <c r="B11" s="39" t="s">
        <v>229</v>
      </c>
      <c r="C11" s="27">
        <v>15</v>
      </c>
      <c r="D11" s="28">
        <v>3.08</v>
      </c>
      <c r="E11" s="28">
        <v>1.58</v>
      </c>
      <c r="F11" s="28">
        <v>53.54</v>
      </c>
      <c r="G11" s="28">
        <f>1.92+1.8</f>
        <v>3.7199999999999998</v>
      </c>
      <c r="H11" s="28">
        <v>13.61</v>
      </c>
      <c r="I11" s="28">
        <v>1.75</v>
      </c>
      <c r="J11" s="28">
        <v>45.38</v>
      </c>
      <c r="K11" s="28">
        <v>3.75</v>
      </c>
      <c r="L11" s="28">
        <f>7.7+1.8</f>
        <v>9.5</v>
      </c>
      <c r="M11" s="28">
        <v>0.99</v>
      </c>
      <c r="N11" s="28">
        <f>Таблица4[[#This Row],[Столбец4]]+Таблица4[[#This Row],[Столбец5]]+Таблица4[[#This Row],[Столбец6]]+Таблица4[[#This Row],[Столбец7]]+Таблица4[[#This Row],[Столбец8]]+Таблица4[[#This Row],[Столбец9]]+Таблица4[[#This Row],[Столбец10]]+Таблица4[[#This Row],[Столбец11]]+Таблица4[[#This Row],[Столбец12]]+Таблица4[[#This Row],[Столбец13]]</f>
        <v>136.9</v>
      </c>
      <c r="O11" s="28">
        <f>Таблица4[[#This Row],[Столбец14]]/10</f>
        <v>13.690000000000001</v>
      </c>
      <c r="P11" s="29">
        <f>O11-C11</f>
        <v>-1.3099999999999987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</row>
    <row r="12" spans="1:1025" s="21" customFormat="1" ht="12.95" customHeight="1" x14ac:dyDescent="0.25">
      <c r="A12" s="22">
        <v>4</v>
      </c>
      <c r="B12" s="38" t="s">
        <v>273</v>
      </c>
      <c r="C12" s="23">
        <v>45</v>
      </c>
      <c r="D12" s="24">
        <f>25+7.41+50</f>
        <v>82.41</v>
      </c>
      <c r="E12" s="24">
        <v>50.91</v>
      </c>
      <c r="F12" s="24">
        <v>10</v>
      </c>
      <c r="G12" s="24">
        <v>39.6</v>
      </c>
      <c r="H12" s="24">
        <f>30.8+53.7</f>
        <v>84.5</v>
      </c>
      <c r="I12" s="24"/>
      <c r="J12" s="24">
        <v>39.700000000000003</v>
      </c>
      <c r="K12" s="24">
        <v>10</v>
      </c>
      <c r="L12" s="24">
        <v>54</v>
      </c>
      <c r="M12" s="24">
        <f>48.5+66.93</f>
        <v>115.43</v>
      </c>
      <c r="N12" s="24">
        <f t="shared" si="0"/>
        <v>486.54999999999995</v>
      </c>
      <c r="O12" s="24">
        <f t="shared" si="1"/>
        <v>48.654999999999994</v>
      </c>
      <c r="P12" s="25">
        <f t="shared" si="2"/>
        <v>3.654999999999994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</row>
    <row r="13" spans="1:1025" s="21" customFormat="1" ht="12.95" customHeight="1" x14ac:dyDescent="0.25">
      <c r="A13" s="26"/>
      <c r="B13" s="39" t="s">
        <v>273</v>
      </c>
      <c r="C13" s="27">
        <v>45</v>
      </c>
      <c r="D13" s="28">
        <v>0</v>
      </c>
      <c r="E13" s="28">
        <f>35.05+35.07</f>
        <v>70.12</v>
      </c>
      <c r="F13" s="28">
        <v>5</v>
      </c>
      <c r="G13" s="28">
        <v>0</v>
      </c>
      <c r="H13" s="28">
        <v>35.99</v>
      </c>
      <c r="I13" s="28">
        <v>45</v>
      </c>
      <c r="J13" s="28">
        <v>61.91</v>
      </c>
      <c r="K13" s="28">
        <v>49.35</v>
      </c>
      <c r="L13" s="28">
        <v>0</v>
      </c>
      <c r="M13" s="28">
        <v>0</v>
      </c>
      <c r="N13" s="28">
        <f>Таблица4[[#This Row],[Столбец4]]+Таблица4[[#This Row],[Столбец5]]+Таблица4[[#This Row],[Столбец6]]+Таблица4[[#This Row],[Столбец7]]+Таблица4[[#This Row],[Столбец8]]+Таблица4[[#This Row],[Столбец9]]+Таблица4[[#This Row],[Столбец10]]+Таблица4[[#This Row],[Столбец11]]+Таблица4[[#This Row],[Столбец12]]+Таблица4[[#This Row],[Столбец13]]</f>
        <v>267.37</v>
      </c>
      <c r="O13" s="28">
        <f>Таблица4[[#This Row],[Столбец14]]/10</f>
        <v>26.737000000000002</v>
      </c>
      <c r="P13" s="29">
        <f>O13-C13</f>
        <v>-18.262999999999998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</row>
    <row r="14" spans="1:1025" s="21" customFormat="1" ht="12.95" customHeight="1" x14ac:dyDescent="0.25">
      <c r="A14" s="22">
        <v>5</v>
      </c>
      <c r="B14" s="38" t="s">
        <v>230</v>
      </c>
      <c r="C14" s="23">
        <v>15</v>
      </c>
      <c r="D14" s="24">
        <v>0</v>
      </c>
      <c r="E14" s="24">
        <v>0</v>
      </c>
      <c r="F14" s="24">
        <v>0</v>
      </c>
      <c r="G14" s="24">
        <v>12.5</v>
      </c>
      <c r="H14" s="24">
        <v>0</v>
      </c>
      <c r="I14" s="24">
        <v>46.82</v>
      </c>
      <c r="J14" s="24">
        <v>0</v>
      </c>
      <c r="K14" s="24">
        <v>0</v>
      </c>
      <c r="L14" s="24">
        <v>0</v>
      </c>
      <c r="M14" s="24">
        <v>0</v>
      </c>
      <c r="N14" s="24">
        <f t="shared" si="0"/>
        <v>59.32</v>
      </c>
      <c r="O14" s="24">
        <f t="shared" si="1"/>
        <v>5.9320000000000004</v>
      </c>
      <c r="P14" s="25">
        <f t="shared" si="2"/>
        <v>-9.0679999999999996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</row>
    <row r="15" spans="1:1025" s="21" customFormat="1" ht="12.95" customHeight="1" x14ac:dyDescent="0.25">
      <c r="A15" s="26"/>
      <c r="B15" s="39" t="s">
        <v>230</v>
      </c>
      <c r="C15" s="27">
        <v>15</v>
      </c>
      <c r="D15" s="28">
        <v>51.05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12.5</v>
      </c>
      <c r="L15" s="28">
        <v>0</v>
      </c>
      <c r="M15" s="28">
        <v>0</v>
      </c>
      <c r="N15" s="28">
        <v>61.05</v>
      </c>
      <c r="O15" s="28">
        <f>Таблица4[[#This Row],[Столбец14]]/10</f>
        <v>6.1049999999999995</v>
      </c>
      <c r="P15" s="29">
        <f>O15-C15</f>
        <v>-8.8949999999999996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</row>
    <row r="16" spans="1:1025" s="21" customFormat="1" ht="12.95" customHeight="1" x14ac:dyDescent="0.25">
      <c r="A16" s="22">
        <v>6</v>
      </c>
      <c r="B16" s="38" t="s">
        <v>232</v>
      </c>
      <c r="C16" s="23">
        <v>188</v>
      </c>
      <c r="D16" s="30">
        <v>26.7</v>
      </c>
      <c r="E16" s="24">
        <v>128.63999999999999</v>
      </c>
      <c r="F16" s="24">
        <v>155</v>
      </c>
      <c r="G16" s="24">
        <v>75</v>
      </c>
      <c r="H16" s="24">
        <v>0</v>
      </c>
      <c r="I16" s="31">
        <v>156.44999999999999</v>
      </c>
      <c r="J16" s="24">
        <f>25.12+119.18</f>
        <v>144.30000000000001</v>
      </c>
      <c r="K16" s="24">
        <f>86.25+141.9</f>
        <v>228.15</v>
      </c>
      <c r="L16" s="24">
        <v>0</v>
      </c>
      <c r="M16" s="24">
        <v>43.12</v>
      </c>
      <c r="N16" s="24">
        <f t="shared" si="0"/>
        <v>957.3599999999999</v>
      </c>
      <c r="O16" s="24">
        <f t="shared" si="1"/>
        <v>95.73599999999999</v>
      </c>
      <c r="P16" s="25">
        <f t="shared" si="2"/>
        <v>-92.26400000000001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0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  <c r="AMH16" s="20"/>
      <c r="AMI16" s="20"/>
      <c r="AMJ16" s="20"/>
      <c r="AMK16" s="20"/>
    </row>
    <row r="17" spans="1:1025" s="21" customFormat="1" ht="12.95" customHeight="1" x14ac:dyDescent="0.25">
      <c r="A17" s="26"/>
      <c r="B17" s="39" t="s">
        <v>232</v>
      </c>
      <c r="C17" s="27">
        <v>188</v>
      </c>
      <c r="D17" s="28">
        <v>0</v>
      </c>
      <c r="E17" s="28">
        <v>0</v>
      </c>
      <c r="F17" s="28">
        <f>75+141.9</f>
        <v>216.9</v>
      </c>
      <c r="G17" s="28">
        <v>99.92</v>
      </c>
      <c r="H17" s="28">
        <v>48.37</v>
      </c>
      <c r="I17" s="28">
        <v>43.12</v>
      </c>
      <c r="J17" s="28">
        <v>20.05</v>
      </c>
      <c r="K17" s="28">
        <v>75</v>
      </c>
      <c r="L17" s="28">
        <v>50</v>
      </c>
      <c r="M17" s="28">
        <f>112.5+126.45</f>
        <v>238.95</v>
      </c>
      <c r="N17" s="28">
        <f>Таблица4[[#This Row],[Столбец13]]+Таблица4[[#This Row],[Столбец12]]+Таблица4[[#This Row],[Столбец11]]+Таблица4[[#This Row],[Столбец10]]+Таблица4[[#This Row],[Столбец9]]+Таблица4[[#This Row],[Столбец8]]+Таблица4[[#This Row],[Столбец7]]+Таблица4[[#This Row],[Столбец6]]+Таблица4[[#This Row],[Столбец5]]+Таблица4[[#This Row],[Столбец4]]</f>
        <v>792.31</v>
      </c>
      <c r="O17" s="28">
        <f>Таблица4[[#This Row],[Столбец14]]/10</f>
        <v>79.230999999999995</v>
      </c>
      <c r="P17" s="29">
        <f>O17-C17</f>
        <v>-108.76900000000001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  <c r="AMH17" s="20"/>
      <c r="AMI17" s="20"/>
      <c r="AMJ17" s="20"/>
      <c r="AMK17" s="20"/>
    </row>
    <row r="18" spans="1:1025" s="21" customFormat="1" ht="12.95" customHeight="1" x14ac:dyDescent="0.25">
      <c r="A18" s="22">
        <v>7</v>
      </c>
      <c r="B18" s="38" t="s">
        <v>272</v>
      </c>
      <c r="C18" s="23">
        <v>280</v>
      </c>
      <c r="D18" s="24">
        <f>60+50+12+15.7+25+1.4+1.36</f>
        <v>165.46</v>
      </c>
      <c r="E18" s="24">
        <f>21.48+12.06+10.56+43.98+10+2.75+40+13.64</f>
        <v>154.46999999999997</v>
      </c>
      <c r="F18" s="24">
        <f>10.56+46.08+10+10+13.1+21.35</f>
        <v>111.09</v>
      </c>
      <c r="G18" s="24">
        <f>45.84+10.07+9.75+19.14+10+21+10+13</f>
        <v>138.80000000000001</v>
      </c>
      <c r="H18" s="24">
        <f>28.44+33.12+24.55</f>
        <v>86.11</v>
      </c>
      <c r="I18" s="24">
        <f>53.82+10.07+9.75+35</f>
        <v>108.64</v>
      </c>
      <c r="J18" s="24">
        <f>37.44+10+9.75+30+15.3</f>
        <v>102.49</v>
      </c>
      <c r="K18" s="24">
        <f>60+12.6+17.78</f>
        <v>90.38</v>
      </c>
      <c r="L18" s="24">
        <f>52.8+10+10.07+9.75+9.36+161.7</f>
        <v>253.68</v>
      </c>
      <c r="M18" s="24">
        <v>208.19</v>
      </c>
      <c r="N18" s="24">
        <f t="shared" si="0"/>
        <v>1419.31</v>
      </c>
      <c r="O18" s="24">
        <f t="shared" si="1"/>
        <v>141.93099999999998</v>
      </c>
      <c r="P18" s="25">
        <f t="shared" si="2"/>
        <v>-138.06900000000002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</row>
    <row r="19" spans="1:1025" s="21" customFormat="1" ht="12.95" customHeight="1" x14ac:dyDescent="0.25">
      <c r="A19" s="26"/>
      <c r="B19" s="39" t="s">
        <v>272</v>
      </c>
      <c r="C19" s="27">
        <v>280</v>
      </c>
      <c r="D19" s="28">
        <f>34.2+24.55</f>
        <v>58.75</v>
      </c>
      <c r="E19" s="28">
        <f>16.38+30.24+10.07+9.75+2.42+6.5+6</f>
        <v>81.36</v>
      </c>
      <c r="F19" s="28">
        <f>60+9.75+17.78</f>
        <v>87.53</v>
      </c>
      <c r="G19" s="28">
        <f>29.04+20.64+10+9.75+8.85+5.85+157.5+4</f>
        <v>245.63</v>
      </c>
      <c r="H19" s="28">
        <f>24.18+32.76+10.07+9.75+24.075+30+23.4+7.27</f>
        <v>161.505</v>
      </c>
      <c r="I19" s="28">
        <f>60+64+11.32+9.75+1.41+2.73+0.7</f>
        <v>149.90999999999997</v>
      </c>
      <c r="J19" s="28">
        <f>12.12+38.16+6.72+40+10.07+12.27+20+9.2+22.17</f>
        <v>170.70999999999998</v>
      </c>
      <c r="K19" s="28">
        <f>10.07+9.75</f>
        <v>19.82</v>
      </c>
      <c r="L19" s="28">
        <f>50.22+7.2+10+10+2.85+8.85+5.85+157.5+4</f>
        <v>256.46999999999997</v>
      </c>
      <c r="M19" s="28">
        <f>10.5+9.75</f>
        <v>20.25</v>
      </c>
      <c r="N19" s="28">
        <f>Таблица4[[#This Row],[Столбец4]]+Таблица4[[#This Row],[Столбец5]]+Таблица4[[#This Row],[Столбец6]]+Таблица4[[#This Row],[Столбец7]]+Таблица4[[#This Row],[Столбец8]]+Таблица4[[#This Row],[Столбец9]]+Таблица4[[#This Row],[Столбец10]]+Таблица4[[#This Row],[Столбец11]]+Таблица4[[#This Row],[Столбец12]]+Таблица4[[#This Row],[Столбец13]]</f>
        <v>1251.9349999999999</v>
      </c>
      <c r="O19" s="28">
        <f>Таблица4[[#This Row],[Столбец14]]/10</f>
        <v>125.1935</v>
      </c>
      <c r="P19" s="29">
        <f>O19-C19</f>
        <v>-154.8065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  <c r="AMK19" s="20"/>
    </row>
    <row r="20" spans="1:1025" s="21" customFormat="1" ht="12.95" customHeight="1" x14ac:dyDescent="0.25">
      <c r="A20" s="22">
        <v>8</v>
      </c>
      <c r="B20" s="38" t="s">
        <v>271</v>
      </c>
      <c r="C20" s="23">
        <v>185</v>
      </c>
      <c r="D20" s="24">
        <v>150</v>
      </c>
      <c r="E20" s="24">
        <v>150</v>
      </c>
      <c r="F20" s="24">
        <f>24+90</f>
        <v>114</v>
      </c>
      <c r="G20" s="24">
        <v>252.32</v>
      </c>
      <c r="H20" s="24">
        <v>123</v>
      </c>
      <c r="I20" s="24">
        <v>120</v>
      </c>
      <c r="J20" s="24">
        <v>175.76</v>
      </c>
      <c r="K20" s="24">
        <v>276.39999999999998</v>
      </c>
      <c r="L20" s="24">
        <v>175</v>
      </c>
      <c r="M20" s="24">
        <v>127.2</v>
      </c>
      <c r="N20" s="24">
        <f t="shared" si="0"/>
        <v>1663.68</v>
      </c>
      <c r="O20" s="24">
        <f t="shared" si="1"/>
        <v>166.36799999999999</v>
      </c>
      <c r="P20" s="25">
        <f t="shared" si="2"/>
        <v>-18.632000000000005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  <c r="AMK20" s="20"/>
    </row>
    <row r="21" spans="1:1025" s="21" customFormat="1" ht="12.95" customHeight="1" x14ac:dyDescent="0.25">
      <c r="A21" s="26"/>
      <c r="B21" s="39" t="s">
        <v>271</v>
      </c>
      <c r="C21" s="27">
        <v>185</v>
      </c>
      <c r="D21" s="28">
        <f>23.22+36.9+39.5</f>
        <v>99.62</v>
      </c>
      <c r="E21" s="28">
        <v>36.76</v>
      </c>
      <c r="F21" s="28">
        <v>30</v>
      </c>
      <c r="G21" s="28">
        <v>20</v>
      </c>
      <c r="H21" s="28">
        <v>20</v>
      </c>
      <c r="I21" s="28">
        <v>20</v>
      </c>
      <c r="J21" s="28">
        <f>49.2+14.4</f>
        <v>63.6</v>
      </c>
      <c r="K21" s="28">
        <v>0</v>
      </c>
      <c r="L21" s="28">
        <v>30</v>
      </c>
      <c r="M21" s="28">
        <v>20</v>
      </c>
      <c r="N21" s="28">
        <f>Таблица4[[#This Row],[Столбец13]]+Таблица4[[#This Row],[Столбец12]]+Таблица4[[#This Row],[Столбец11]]+Таблица4[[#This Row],[Столбец10]]+Таблица4[[#This Row],[Столбец9]]+Таблица4[[#This Row],[Столбец8]]+Таблица4[[#This Row],[Столбец7]]+Таблица4[[#This Row],[Столбец6]]+Таблица4[[#This Row],[Столбец5]]+Таблица4[[#This Row],[Столбец4]]</f>
        <v>339.98</v>
      </c>
      <c r="O21" s="28">
        <f>Таблица4[[#This Row],[Столбец14]]/10</f>
        <v>33.998000000000005</v>
      </c>
      <c r="P21" s="29">
        <f>O21-C21</f>
        <v>-151.00200000000001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</row>
    <row r="22" spans="1:1025" s="21" customFormat="1" ht="12.95" customHeight="1" x14ac:dyDescent="0.25">
      <c r="A22" s="22">
        <v>9</v>
      </c>
      <c r="B22" s="38" t="s">
        <v>270</v>
      </c>
      <c r="C22" s="23">
        <v>15</v>
      </c>
      <c r="D22" s="24">
        <v>20</v>
      </c>
      <c r="E22" s="24">
        <v>20</v>
      </c>
      <c r="F22" s="24">
        <v>0</v>
      </c>
      <c r="G22" s="24">
        <v>3.36</v>
      </c>
      <c r="H22" s="24">
        <v>0</v>
      </c>
      <c r="I22" s="24">
        <v>20</v>
      </c>
      <c r="J22" s="24">
        <v>2.7</v>
      </c>
      <c r="K22" s="24">
        <v>3.85</v>
      </c>
      <c r="L22" s="24">
        <v>25</v>
      </c>
      <c r="M22" s="24">
        <v>0</v>
      </c>
      <c r="N22" s="24">
        <f t="shared" si="0"/>
        <v>94.91</v>
      </c>
      <c r="O22" s="24">
        <f t="shared" si="1"/>
        <v>9.4909999999999997</v>
      </c>
      <c r="P22" s="25">
        <f t="shared" si="2"/>
        <v>-5.5090000000000003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  <c r="AMI22" s="20"/>
      <c r="AMJ22" s="20"/>
      <c r="AMK22" s="20"/>
    </row>
    <row r="23" spans="1:1025" s="21" customFormat="1" ht="12.95" customHeight="1" x14ac:dyDescent="0.25">
      <c r="A23" s="26"/>
      <c r="B23" s="39" t="s">
        <v>325</v>
      </c>
      <c r="C23" s="27">
        <v>15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20</v>
      </c>
      <c r="K23" s="28">
        <v>20</v>
      </c>
      <c r="L23" s="28">
        <v>0</v>
      </c>
      <c r="M23" s="28">
        <v>0</v>
      </c>
      <c r="N23" s="28">
        <v>20</v>
      </c>
      <c r="O23" s="28">
        <v>2</v>
      </c>
      <c r="P23" s="29">
        <f>O23-C23</f>
        <v>-13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  <c r="AMK23" s="20"/>
    </row>
    <row r="24" spans="1:1025" s="21" customFormat="1" ht="12.95" customHeight="1" x14ac:dyDescent="0.25">
      <c r="A24" s="22">
        <v>10</v>
      </c>
      <c r="B24" s="38" t="s">
        <v>269</v>
      </c>
      <c r="C24" s="23">
        <v>200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>
        <f t="shared" si="1"/>
        <v>0</v>
      </c>
      <c r="P24" s="25">
        <f t="shared" si="2"/>
        <v>-200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  <c r="AMK24" s="20"/>
    </row>
    <row r="25" spans="1:1025" s="21" customFormat="1" ht="12.95" customHeight="1" x14ac:dyDescent="0.25">
      <c r="A25" s="26"/>
      <c r="B25" s="39" t="s">
        <v>269</v>
      </c>
      <c r="C25" s="27">
        <v>200</v>
      </c>
      <c r="D25" s="28">
        <v>0</v>
      </c>
      <c r="E25" s="28">
        <v>200</v>
      </c>
      <c r="F25" s="28">
        <v>0</v>
      </c>
      <c r="G25" s="28">
        <v>200</v>
      </c>
      <c r="H25" s="28">
        <v>0</v>
      </c>
      <c r="I25" s="28">
        <v>0</v>
      </c>
      <c r="J25" s="28">
        <v>200</v>
      </c>
      <c r="K25" s="28">
        <v>200</v>
      </c>
      <c r="L25" s="28">
        <v>0</v>
      </c>
      <c r="M25" s="28">
        <v>200</v>
      </c>
      <c r="N25" s="28">
        <v>1000</v>
      </c>
      <c r="O25" s="28">
        <v>100</v>
      </c>
      <c r="P25" s="29">
        <f>O25-C25</f>
        <v>-100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  <c r="AMI25" s="20"/>
      <c r="AMJ25" s="20"/>
      <c r="AMK25" s="20"/>
    </row>
    <row r="26" spans="1:1025" s="21" customFormat="1" ht="12.95" customHeight="1" x14ac:dyDescent="0.25">
      <c r="A26" s="22">
        <v>11</v>
      </c>
      <c r="B26" s="38" t="s">
        <v>268</v>
      </c>
      <c r="C26" s="23">
        <v>70</v>
      </c>
      <c r="D26" s="24">
        <v>0</v>
      </c>
      <c r="E26" s="24">
        <v>112</v>
      </c>
      <c r="F26" s="24">
        <v>0</v>
      </c>
      <c r="G26" s="24">
        <v>119.04</v>
      </c>
      <c r="H26" s="24">
        <v>0</v>
      </c>
      <c r="I26" s="24">
        <v>0</v>
      </c>
      <c r="J26" s="24">
        <v>117</v>
      </c>
      <c r="K26" s="24">
        <v>84.39</v>
      </c>
      <c r="L26" s="24">
        <v>64</v>
      </c>
      <c r="M26" s="24">
        <v>65.599999999999994</v>
      </c>
      <c r="N26" s="24">
        <f>SUM(D26:M26)</f>
        <v>562.03</v>
      </c>
      <c r="O26" s="24">
        <f t="shared" si="1"/>
        <v>56.202999999999996</v>
      </c>
      <c r="P26" s="25">
        <f t="shared" si="2"/>
        <v>-13.797000000000004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  <c r="AMH26" s="20"/>
      <c r="AMI26" s="20"/>
      <c r="AMJ26" s="20"/>
      <c r="AMK26" s="20"/>
    </row>
    <row r="27" spans="1:1025" s="21" customFormat="1" ht="12.95" customHeight="1" x14ac:dyDescent="0.25">
      <c r="A27" s="26"/>
      <c r="B27" s="39" t="s">
        <v>268</v>
      </c>
      <c r="C27" s="27">
        <v>70</v>
      </c>
      <c r="D27" s="28">
        <v>92.5</v>
      </c>
      <c r="E27" s="28">
        <v>0</v>
      </c>
      <c r="F27" s="28">
        <v>84.39</v>
      </c>
      <c r="G27" s="28">
        <v>29.05</v>
      </c>
      <c r="H27" s="28">
        <v>65.599999999999994</v>
      </c>
      <c r="I27" s="28">
        <v>115.4</v>
      </c>
      <c r="J27" s="28">
        <v>75.44</v>
      </c>
      <c r="K27" s="28">
        <v>60</v>
      </c>
      <c r="L27" s="28">
        <v>0</v>
      </c>
      <c r="M27" s="28">
        <v>93</v>
      </c>
      <c r="N27" s="28">
        <f>Таблица4[[#This Row],[Столбец13]]+Таблица4[[#This Row],[Столбец11]]+Таблица4[[#This Row],[Столбец10]]+Таблица4[[#This Row],[Столбец9]]+Таблица4[[#This Row],[Столбец8]]+Таблица4[[#This Row],[Столбец7]]+Таблица4[[#This Row],[Столбец6]]+Таблица4[[#This Row],[Столбец4]]</f>
        <v>615.38000000000011</v>
      </c>
      <c r="O27" s="28">
        <f>Таблица4[[#This Row],[Столбец14]]/10</f>
        <v>61.538000000000011</v>
      </c>
      <c r="P27" s="29">
        <f>O27-C27</f>
        <v>-8.4619999999999891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  <c r="ZZ27" s="20"/>
      <c r="AAA27" s="20"/>
      <c r="AAB27" s="20"/>
      <c r="AAC27" s="20"/>
      <c r="AAD27" s="20"/>
      <c r="AAE27" s="20"/>
      <c r="AAF27" s="20"/>
      <c r="AAG27" s="20"/>
      <c r="AAH27" s="20"/>
      <c r="AAI27" s="20"/>
      <c r="AAJ27" s="20"/>
      <c r="AAK27" s="20"/>
      <c r="AAL27" s="20"/>
      <c r="AAM27" s="20"/>
      <c r="AAN27" s="20"/>
      <c r="AAO27" s="20"/>
      <c r="AAP27" s="20"/>
      <c r="AAQ27" s="20"/>
      <c r="AAR27" s="20"/>
      <c r="AAS27" s="20"/>
      <c r="AAT27" s="20"/>
      <c r="AAU27" s="20"/>
      <c r="AAV27" s="20"/>
      <c r="AAW27" s="20"/>
      <c r="AAX27" s="20"/>
      <c r="AAY27" s="20"/>
      <c r="AAZ27" s="20"/>
      <c r="ABA27" s="20"/>
      <c r="ABB27" s="20"/>
      <c r="ABC27" s="20"/>
      <c r="ABD27" s="20"/>
      <c r="ABE27" s="20"/>
      <c r="ABF27" s="20"/>
      <c r="ABG27" s="20"/>
      <c r="ABH27" s="20"/>
      <c r="ABI27" s="20"/>
      <c r="ABJ27" s="20"/>
      <c r="ABK27" s="20"/>
      <c r="ABL27" s="20"/>
      <c r="ABM27" s="20"/>
      <c r="ABN27" s="20"/>
      <c r="ABO27" s="20"/>
      <c r="ABP27" s="20"/>
      <c r="ABQ27" s="20"/>
      <c r="ABR27" s="20"/>
      <c r="ABS27" s="20"/>
      <c r="ABT27" s="20"/>
      <c r="ABU27" s="20"/>
      <c r="ABV27" s="20"/>
      <c r="ABW27" s="20"/>
      <c r="ABX27" s="20"/>
      <c r="ABY27" s="20"/>
      <c r="ABZ27" s="20"/>
      <c r="ACA27" s="20"/>
      <c r="ACB27" s="20"/>
      <c r="ACC27" s="20"/>
      <c r="ACD27" s="20"/>
      <c r="ACE27" s="20"/>
      <c r="ACF27" s="20"/>
      <c r="ACG27" s="20"/>
      <c r="ACH27" s="20"/>
      <c r="ACI27" s="20"/>
      <c r="ACJ27" s="20"/>
      <c r="ACK27" s="20"/>
      <c r="ACL27" s="20"/>
      <c r="ACM27" s="20"/>
      <c r="ACN27" s="20"/>
      <c r="ACO27" s="20"/>
      <c r="ACP27" s="20"/>
      <c r="ACQ27" s="20"/>
      <c r="ACR27" s="20"/>
      <c r="ACS27" s="20"/>
      <c r="ACT27" s="20"/>
      <c r="ACU27" s="20"/>
      <c r="ACV27" s="20"/>
      <c r="ACW27" s="20"/>
      <c r="ACX27" s="20"/>
      <c r="ACY27" s="20"/>
      <c r="ACZ27" s="20"/>
      <c r="ADA27" s="20"/>
      <c r="ADB27" s="20"/>
      <c r="ADC27" s="20"/>
      <c r="ADD27" s="20"/>
      <c r="ADE27" s="20"/>
      <c r="ADF27" s="20"/>
      <c r="ADG27" s="20"/>
      <c r="ADH27" s="20"/>
      <c r="ADI27" s="20"/>
      <c r="ADJ27" s="20"/>
      <c r="ADK27" s="20"/>
      <c r="ADL27" s="20"/>
      <c r="ADM27" s="20"/>
      <c r="ADN27" s="20"/>
      <c r="ADO27" s="20"/>
      <c r="ADP27" s="20"/>
      <c r="ADQ27" s="20"/>
      <c r="ADR27" s="20"/>
      <c r="ADS27" s="20"/>
      <c r="ADT27" s="20"/>
      <c r="ADU27" s="20"/>
      <c r="ADV27" s="20"/>
      <c r="ADW27" s="20"/>
      <c r="ADX27" s="20"/>
      <c r="ADY27" s="20"/>
      <c r="ADZ27" s="20"/>
      <c r="AEA27" s="20"/>
      <c r="AEB27" s="20"/>
      <c r="AEC27" s="20"/>
      <c r="AED27" s="20"/>
      <c r="AEE27" s="20"/>
      <c r="AEF27" s="20"/>
      <c r="AEG27" s="20"/>
      <c r="AEH27" s="20"/>
      <c r="AEI27" s="20"/>
      <c r="AEJ27" s="20"/>
      <c r="AEK27" s="20"/>
      <c r="AEL27" s="20"/>
      <c r="AEM27" s="20"/>
      <c r="AEN27" s="20"/>
      <c r="AEO27" s="20"/>
      <c r="AEP27" s="20"/>
      <c r="AEQ27" s="20"/>
      <c r="AER27" s="20"/>
      <c r="AES27" s="20"/>
      <c r="AET27" s="20"/>
      <c r="AEU27" s="20"/>
      <c r="AEV27" s="20"/>
      <c r="AEW27" s="20"/>
      <c r="AEX27" s="20"/>
      <c r="AEY27" s="20"/>
      <c r="AEZ27" s="20"/>
      <c r="AFA27" s="20"/>
      <c r="AFB27" s="20"/>
      <c r="AFC27" s="20"/>
      <c r="AFD27" s="20"/>
      <c r="AFE27" s="20"/>
      <c r="AFF27" s="20"/>
      <c r="AFG27" s="20"/>
      <c r="AFH27" s="20"/>
      <c r="AFI27" s="20"/>
      <c r="AFJ27" s="20"/>
      <c r="AFK27" s="20"/>
      <c r="AFL27" s="20"/>
      <c r="AFM27" s="20"/>
      <c r="AFN27" s="20"/>
      <c r="AFO27" s="20"/>
      <c r="AFP27" s="20"/>
      <c r="AFQ27" s="20"/>
      <c r="AFR27" s="20"/>
      <c r="AFS27" s="20"/>
      <c r="AFT27" s="20"/>
      <c r="AFU27" s="20"/>
      <c r="AFV27" s="20"/>
      <c r="AFW27" s="20"/>
      <c r="AFX27" s="20"/>
      <c r="AFY27" s="20"/>
      <c r="AFZ27" s="20"/>
      <c r="AGA27" s="20"/>
      <c r="AGB27" s="20"/>
      <c r="AGC27" s="20"/>
      <c r="AGD27" s="20"/>
      <c r="AGE27" s="20"/>
      <c r="AGF27" s="20"/>
      <c r="AGG27" s="20"/>
      <c r="AGH27" s="20"/>
      <c r="AGI27" s="20"/>
      <c r="AGJ27" s="20"/>
      <c r="AGK27" s="20"/>
      <c r="AGL27" s="20"/>
      <c r="AGM27" s="20"/>
      <c r="AGN27" s="20"/>
      <c r="AGO27" s="20"/>
      <c r="AGP27" s="20"/>
      <c r="AGQ27" s="20"/>
      <c r="AGR27" s="20"/>
      <c r="AGS27" s="20"/>
      <c r="AGT27" s="20"/>
      <c r="AGU27" s="20"/>
      <c r="AGV27" s="20"/>
      <c r="AGW27" s="20"/>
      <c r="AGX27" s="20"/>
      <c r="AGY27" s="20"/>
      <c r="AGZ27" s="20"/>
      <c r="AHA27" s="20"/>
      <c r="AHB27" s="20"/>
      <c r="AHC27" s="20"/>
      <c r="AHD27" s="20"/>
      <c r="AHE27" s="20"/>
      <c r="AHF27" s="20"/>
      <c r="AHG27" s="20"/>
      <c r="AHH27" s="20"/>
      <c r="AHI27" s="20"/>
      <c r="AHJ27" s="20"/>
      <c r="AHK27" s="20"/>
      <c r="AHL27" s="20"/>
      <c r="AHM27" s="20"/>
      <c r="AHN27" s="20"/>
      <c r="AHO27" s="20"/>
      <c r="AHP27" s="20"/>
      <c r="AHQ27" s="20"/>
      <c r="AHR27" s="20"/>
      <c r="AHS27" s="20"/>
      <c r="AHT27" s="20"/>
      <c r="AHU27" s="20"/>
      <c r="AHV27" s="20"/>
      <c r="AHW27" s="20"/>
      <c r="AHX27" s="20"/>
      <c r="AHY27" s="20"/>
      <c r="AHZ27" s="20"/>
      <c r="AIA27" s="20"/>
      <c r="AIB27" s="20"/>
      <c r="AIC27" s="20"/>
      <c r="AID27" s="20"/>
      <c r="AIE27" s="20"/>
      <c r="AIF27" s="20"/>
      <c r="AIG27" s="20"/>
      <c r="AIH27" s="20"/>
      <c r="AII27" s="20"/>
      <c r="AIJ27" s="20"/>
      <c r="AIK27" s="20"/>
      <c r="AIL27" s="20"/>
      <c r="AIM27" s="20"/>
      <c r="AIN27" s="20"/>
      <c r="AIO27" s="20"/>
      <c r="AIP27" s="20"/>
      <c r="AIQ27" s="20"/>
      <c r="AIR27" s="20"/>
      <c r="AIS27" s="20"/>
      <c r="AIT27" s="20"/>
      <c r="AIU27" s="20"/>
      <c r="AIV27" s="20"/>
      <c r="AIW27" s="20"/>
      <c r="AIX27" s="20"/>
      <c r="AIY27" s="20"/>
      <c r="AIZ27" s="20"/>
      <c r="AJA27" s="20"/>
      <c r="AJB27" s="20"/>
      <c r="AJC27" s="20"/>
      <c r="AJD27" s="20"/>
      <c r="AJE27" s="20"/>
      <c r="AJF27" s="20"/>
      <c r="AJG27" s="20"/>
      <c r="AJH27" s="20"/>
      <c r="AJI27" s="20"/>
      <c r="AJJ27" s="20"/>
      <c r="AJK27" s="20"/>
      <c r="AJL27" s="20"/>
      <c r="AJM27" s="20"/>
      <c r="AJN27" s="20"/>
      <c r="AJO27" s="20"/>
      <c r="AJP27" s="20"/>
      <c r="AJQ27" s="20"/>
      <c r="AJR27" s="20"/>
      <c r="AJS27" s="20"/>
      <c r="AJT27" s="20"/>
      <c r="AJU27" s="20"/>
      <c r="AJV27" s="20"/>
      <c r="AJW27" s="20"/>
      <c r="AJX27" s="20"/>
      <c r="AJY27" s="20"/>
      <c r="AJZ27" s="20"/>
      <c r="AKA27" s="20"/>
      <c r="AKB27" s="20"/>
      <c r="AKC27" s="20"/>
      <c r="AKD27" s="20"/>
      <c r="AKE27" s="20"/>
      <c r="AKF27" s="20"/>
      <c r="AKG27" s="20"/>
      <c r="AKH27" s="20"/>
      <c r="AKI27" s="20"/>
      <c r="AKJ27" s="20"/>
      <c r="AKK27" s="20"/>
      <c r="AKL27" s="20"/>
      <c r="AKM27" s="20"/>
      <c r="AKN27" s="20"/>
      <c r="AKO27" s="20"/>
      <c r="AKP27" s="20"/>
      <c r="AKQ27" s="20"/>
      <c r="AKR27" s="20"/>
      <c r="AKS27" s="20"/>
      <c r="AKT27" s="20"/>
      <c r="AKU27" s="20"/>
      <c r="AKV27" s="20"/>
      <c r="AKW27" s="20"/>
      <c r="AKX27" s="20"/>
      <c r="AKY27" s="20"/>
      <c r="AKZ27" s="20"/>
      <c r="ALA27" s="20"/>
      <c r="ALB27" s="20"/>
      <c r="ALC27" s="20"/>
      <c r="ALD27" s="20"/>
      <c r="ALE27" s="20"/>
      <c r="ALF27" s="20"/>
      <c r="ALG27" s="20"/>
      <c r="ALH27" s="20"/>
      <c r="ALI27" s="20"/>
      <c r="ALJ27" s="20"/>
      <c r="ALK27" s="20"/>
      <c r="ALL27" s="20"/>
      <c r="ALM27" s="20"/>
      <c r="ALN27" s="20"/>
      <c r="ALO27" s="20"/>
      <c r="ALP27" s="20"/>
      <c r="ALQ27" s="20"/>
      <c r="ALR27" s="20"/>
      <c r="ALS27" s="20"/>
      <c r="ALT27" s="20"/>
      <c r="ALU27" s="20"/>
      <c r="ALV27" s="20"/>
      <c r="ALW27" s="20"/>
      <c r="ALX27" s="20"/>
      <c r="ALY27" s="20"/>
      <c r="ALZ27" s="20"/>
      <c r="AMA27" s="20"/>
      <c r="AMB27" s="20"/>
      <c r="AMC27" s="20"/>
      <c r="AMD27" s="20"/>
      <c r="AME27" s="20"/>
      <c r="AMF27" s="20"/>
      <c r="AMG27" s="20"/>
      <c r="AMH27" s="20"/>
      <c r="AMI27" s="20"/>
      <c r="AMJ27" s="20"/>
      <c r="AMK27" s="20"/>
    </row>
    <row r="28" spans="1:1025" s="21" customFormat="1" ht="12.95" customHeight="1" x14ac:dyDescent="0.25">
      <c r="A28" s="22">
        <v>12</v>
      </c>
      <c r="B28" s="38" t="s">
        <v>267</v>
      </c>
      <c r="C28" s="23">
        <v>35</v>
      </c>
      <c r="D28" s="24">
        <v>76.38</v>
      </c>
      <c r="E28" s="24">
        <v>0</v>
      </c>
      <c r="F28" s="24">
        <v>110.4</v>
      </c>
      <c r="G28" s="24">
        <v>0</v>
      </c>
      <c r="H28" s="24">
        <v>29.62</v>
      </c>
      <c r="I28" s="24">
        <v>52.57</v>
      </c>
      <c r="J28" s="24">
        <v>0</v>
      </c>
      <c r="K28" s="24">
        <v>0</v>
      </c>
      <c r="L28" s="24">
        <v>0</v>
      </c>
      <c r="M28" s="24">
        <v>70</v>
      </c>
      <c r="N28" s="24">
        <f>SUM(D28:M28)</f>
        <v>338.97</v>
      </c>
      <c r="O28" s="24">
        <f t="shared" si="1"/>
        <v>33.897000000000006</v>
      </c>
      <c r="P28" s="25">
        <f t="shared" si="2"/>
        <v>-1.1029999999999944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  <c r="AMI28" s="20"/>
      <c r="AMJ28" s="20"/>
      <c r="AMK28" s="20"/>
    </row>
    <row r="29" spans="1:1025" s="21" customFormat="1" ht="12.95" customHeight="1" x14ac:dyDescent="0.25">
      <c r="A29" s="26"/>
      <c r="B29" s="39" t="s">
        <v>267</v>
      </c>
      <c r="C29" s="27">
        <v>35</v>
      </c>
      <c r="D29" s="28">
        <v>29.62</v>
      </c>
      <c r="E29" s="28">
        <v>58.33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80</v>
      </c>
      <c r="M29" s="28">
        <v>0</v>
      </c>
      <c r="N29" s="28">
        <f>Таблица4[[#This Row],[Столбец12]]+Таблица4[[#This Row],[Столбец5]]+Таблица4[[#This Row],[Столбец4]]</f>
        <v>167.95</v>
      </c>
      <c r="O29" s="28">
        <f>Таблица4[[#This Row],[Столбец14]]/10</f>
        <v>16.794999999999998</v>
      </c>
      <c r="P29" s="29">
        <f>O29-C29</f>
        <v>-18.205000000000002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  <c r="ABC29" s="20"/>
      <c r="ABD29" s="20"/>
      <c r="ABE29" s="20"/>
      <c r="ABF29" s="20"/>
      <c r="ABG29" s="20"/>
      <c r="ABH29" s="20"/>
      <c r="ABI29" s="20"/>
      <c r="ABJ29" s="20"/>
      <c r="ABK29" s="20"/>
      <c r="ABL29" s="20"/>
      <c r="ABM29" s="20"/>
      <c r="ABN29" s="20"/>
      <c r="ABO29" s="20"/>
      <c r="ABP29" s="20"/>
      <c r="ABQ29" s="20"/>
      <c r="ABR29" s="20"/>
      <c r="ABS29" s="20"/>
      <c r="ABT29" s="20"/>
      <c r="ABU29" s="20"/>
      <c r="ABV29" s="20"/>
      <c r="ABW29" s="20"/>
      <c r="ABX29" s="20"/>
      <c r="ABY29" s="20"/>
      <c r="ABZ29" s="20"/>
      <c r="ACA29" s="20"/>
      <c r="ACB29" s="20"/>
      <c r="ACC29" s="20"/>
      <c r="ACD29" s="20"/>
      <c r="ACE29" s="20"/>
      <c r="ACF29" s="20"/>
      <c r="ACG29" s="20"/>
      <c r="ACH29" s="20"/>
      <c r="ACI29" s="20"/>
      <c r="ACJ29" s="20"/>
      <c r="ACK29" s="20"/>
      <c r="ACL29" s="20"/>
      <c r="ACM29" s="20"/>
      <c r="ACN29" s="20"/>
      <c r="ACO29" s="20"/>
      <c r="ACP29" s="20"/>
      <c r="ACQ29" s="20"/>
      <c r="ACR29" s="20"/>
      <c r="ACS29" s="20"/>
      <c r="ACT29" s="20"/>
      <c r="ACU29" s="20"/>
      <c r="ACV29" s="20"/>
      <c r="ACW29" s="20"/>
      <c r="ACX29" s="20"/>
      <c r="ACY29" s="20"/>
      <c r="ACZ29" s="20"/>
      <c r="ADA29" s="20"/>
      <c r="ADB29" s="20"/>
      <c r="ADC29" s="20"/>
      <c r="ADD29" s="20"/>
      <c r="ADE29" s="20"/>
      <c r="ADF29" s="20"/>
      <c r="ADG29" s="20"/>
      <c r="ADH29" s="20"/>
      <c r="ADI29" s="20"/>
      <c r="ADJ29" s="20"/>
      <c r="ADK29" s="20"/>
      <c r="ADL29" s="20"/>
      <c r="ADM29" s="20"/>
      <c r="ADN29" s="20"/>
      <c r="ADO29" s="20"/>
      <c r="ADP29" s="20"/>
      <c r="ADQ29" s="20"/>
      <c r="ADR29" s="20"/>
      <c r="ADS29" s="20"/>
      <c r="ADT29" s="20"/>
      <c r="ADU29" s="20"/>
      <c r="ADV29" s="20"/>
      <c r="ADW29" s="20"/>
      <c r="ADX29" s="20"/>
      <c r="ADY29" s="20"/>
      <c r="ADZ29" s="20"/>
      <c r="AEA29" s="20"/>
      <c r="AEB29" s="20"/>
      <c r="AEC29" s="20"/>
      <c r="AED29" s="20"/>
      <c r="AEE29" s="20"/>
      <c r="AEF29" s="20"/>
      <c r="AEG29" s="20"/>
      <c r="AEH29" s="20"/>
      <c r="AEI29" s="20"/>
      <c r="AEJ29" s="20"/>
      <c r="AEK29" s="20"/>
      <c r="AEL29" s="20"/>
      <c r="AEM29" s="20"/>
      <c r="AEN29" s="20"/>
      <c r="AEO29" s="20"/>
      <c r="AEP29" s="20"/>
      <c r="AEQ29" s="20"/>
      <c r="AER29" s="20"/>
      <c r="AES29" s="20"/>
      <c r="AET29" s="20"/>
      <c r="AEU29" s="20"/>
      <c r="AEV29" s="20"/>
      <c r="AEW29" s="20"/>
      <c r="AEX29" s="20"/>
      <c r="AEY29" s="20"/>
      <c r="AEZ29" s="20"/>
      <c r="AFA29" s="20"/>
      <c r="AFB29" s="20"/>
      <c r="AFC29" s="20"/>
      <c r="AFD29" s="20"/>
      <c r="AFE29" s="20"/>
      <c r="AFF29" s="20"/>
      <c r="AFG29" s="20"/>
      <c r="AFH29" s="20"/>
      <c r="AFI29" s="20"/>
      <c r="AFJ29" s="20"/>
      <c r="AFK29" s="20"/>
      <c r="AFL29" s="20"/>
      <c r="AFM29" s="20"/>
      <c r="AFN29" s="20"/>
      <c r="AFO29" s="20"/>
      <c r="AFP29" s="20"/>
      <c r="AFQ29" s="20"/>
      <c r="AFR29" s="20"/>
      <c r="AFS29" s="20"/>
      <c r="AFT29" s="20"/>
      <c r="AFU29" s="20"/>
      <c r="AFV29" s="20"/>
      <c r="AFW29" s="20"/>
      <c r="AFX29" s="20"/>
      <c r="AFY29" s="20"/>
      <c r="AFZ29" s="20"/>
      <c r="AGA29" s="20"/>
      <c r="AGB29" s="20"/>
      <c r="AGC29" s="20"/>
      <c r="AGD29" s="20"/>
      <c r="AGE29" s="20"/>
      <c r="AGF29" s="20"/>
      <c r="AGG29" s="20"/>
      <c r="AGH29" s="20"/>
      <c r="AGI29" s="20"/>
      <c r="AGJ29" s="20"/>
      <c r="AGK29" s="20"/>
      <c r="AGL29" s="20"/>
      <c r="AGM29" s="20"/>
      <c r="AGN29" s="20"/>
      <c r="AGO29" s="20"/>
      <c r="AGP29" s="20"/>
      <c r="AGQ29" s="20"/>
      <c r="AGR29" s="20"/>
      <c r="AGS29" s="20"/>
      <c r="AGT29" s="20"/>
      <c r="AGU29" s="20"/>
      <c r="AGV29" s="20"/>
      <c r="AGW29" s="20"/>
      <c r="AGX29" s="20"/>
      <c r="AGY29" s="20"/>
      <c r="AGZ29" s="20"/>
      <c r="AHA29" s="20"/>
      <c r="AHB29" s="20"/>
      <c r="AHC29" s="20"/>
      <c r="AHD29" s="20"/>
      <c r="AHE29" s="20"/>
      <c r="AHF29" s="20"/>
      <c r="AHG29" s="20"/>
      <c r="AHH29" s="20"/>
      <c r="AHI29" s="20"/>
      <c r="AHJ29" s="20"/>
      <c r="AHK29" s="20"/>
      <c r="AHL29" s="20"/>
      <c r="AHM29" s="20"/>
      <c r="AHN29" s="20"/>
      <c r="AHO29" s="20"/>
      <c r="AHP29" s="20"/>
      <c r="AHQ29" s="20"/>
      <c r="AHR29" s="20"/>
      <c r="AHS29" s="20"/>
      <c r="AHT29" s="20"/>
      <c r="AHU29" s="20"/>
      <c r="AHV29" s="20"/>
      <c r="AHW29" s="20"/>
      <c r="AHX29" s="20"/>
      <c r="AHY29" s="20"/>
      <c r="AHZ29" s="20"/>
      <c r="AIA29" s="20"/>
      <c r="AIB29" s="20"/>
      <c r="AIC29" s="20"/>
      <c r="AID29" s="20"/>
      <c r="AIE29" s="20"/>
      <c r="AIF29" s="20"/>
      <c r="AIG29" s="20"/>
      <c r="AIH29" s="20"/>
      <c r="AII29" s="20"/>
      <c r="AIJ29" s="20"/>
      <c r="AIK29" s="20"/>
      <c r="AIL29" s="20"/>
      <c r="AIM29" s="20"/>
      <c r="AIN29" s="20"/>
      <c r="AIO29" s="20"/>
      <c r="AIP29" s="20"/>
      <c r="AIQ29" s="20"/>
      <c r="AIR29" s="20"/>
      <c r="AIS29" s="20"/>
      <c r="AIT29" s="20"/>
      <c r="AIU29" s="20"/>
      <c r="AIV29" s="20"/>
      <c r="AIW29" s="20"/>
      <c r="AIX29" s="20"/>
      <c r="AIY29" s="20"/>
      <c r="AIZ29" s="20"/>
      <c r="AJA29" s="20"/>
      <c r="AJB29" s="20"/>
      <c r="AJC29" s="20"/>
      <c r="AJD29" s="20"/>
      <c r="AJE29" s="20"/>
      <c r="AJF29" s="20"/>
      <c r="AJG29" s="20"/>
      <c r="AJH29" s="20"/>
      <c r="AJI29" s="20"/>
      <c r="AJJ29" s="20"/>
      <c r="AJK29" s="20"/>
      <c r="AJL29" s="20"/>
      <c r="AJM29" s="20"/>
      <c r="AJN29" s="20"/>
      <c r="AJO29" s="20"/>
      <c r="AJP29" s="20"/>
      <c r="AJQ29" s="20"/>
      <c r="AJR29" s="20"/>
      <c r="AJS29" s="20"/>
      <c r="AJT29" s="20"/>
      <c r="AJU29" s="20"/>
      <c r="AJV29" s="20"/>
      <c r="AJW29" s="20"/>
      <c r="AJX29" s="20"/>
      <c r="AJY29" s="20"/>
      <c r="AJZ29" s="20"/>
      <c r="AKA29" s="20"/>
      <c r="AKB29" s="20"/>
      <c r="AKC29" s="20"/>
      <c r="AKD29" s="20"/>
      <c r="AKE29" s="20"/>
      <c r="AKF29" s="20"/>
      <c r="AKG29" s="20"/>
      <c r="AKH29" s="20"/>
      <c r="AKI29" s="20"/>
      <c r="AKJ29" s="20"/>
      <c r="AKK29" s="20"/>
      <c r="AKL29" s="20"/>
      <c r="AKM29" s="20"/>
      <c r="AKN29" s="20"/>
      <c r="AKO29" s="20"/>
      <c r="AKP29" s="20"/>
      <c r="AKQ29" s="20"/>
      <c r="AKR29" s="20"/>
      <c r="AKS29" s="20"/>
      <c r="AKT29" s="20"/>
      <c r="AKU29" s="20"/>
      <c r="AKV29" s="20"/>
      <c r="AKW29" s="20"/>
      <c r="AKX29" s="20"/>
      <c r="AKY29" s="20"/>
      <c r="AKZ29" s="20"/>
      <c r="ALA29" s="20"/>
      <c r="ALB29" s="20"/>
      <c r="ALC29" s="20"/>
      <c r="ALD29" s="20"/>
      <c r="ALE29" s="20"/>
      <c r="ALF29" s="20"/>
      <c r="ALG29" s="20"/>
      <c r="ALH29" s="20"/>
      <c r="ALI29" s="20"/>
      <c r="ALJ29" s="20"/>
      <c r="ALK29" s="20"/>
      <c r="ALL29" s="20"/>
      <c r="ALM29" s="20"/>
      <c r="ALN29" s="20"/>
      <c r="ALO29" s="20"/>
      <c r="ALP29" s="20"/>
      <c r="ALQ29" s="20"/>
      <c r="ALR29" s="20"/>
      <c r="ALS29" s="20"/>
      <c r="ALT29" s="20"/>
      <c r="ALU29" s="20"/>
      <c r="ALV29" s="20"/>
      <c r="ALW29" s="20"/>
      <c r="ALX29" s="20"/>
      <c r="ALY29" s="20"/>
      <c r="ALZ29" s="20"/>
      <c r="AMA29" s="20"/>
      <c r="AMB29" s="20"/>
      <c r="AMC29" s="20"/>
      <c r="AMD29" s="20"/>
      <c r="AME29" s="20"/>
      <c r="AMF29" s="20"/>
      <c r="AMG29" s="20"/>
      <c r="AMH29" s="20"/>
      <c r="AMI29" s="20"/>
      <c r="AMJ29" s="20"/>
      <c r="AMK29" s="20"/>
    </row>
    <row r="30" spans="1:1025" s="21" customFormat="1" ht="12.95" customHeight="1" x14ac:dyDescent="0.25">
      <c r="A30" s="22">
        <v>13</v>
      </c>
      <c r="B30" s="38" t="s">
        <v>266</v>
      </c>
      <c r="C30" s="23">
        <v>58</v>
      </c>
      <c r="D30" s="24">
        <v>0</v>
      </c>
      <c r="E30" s="24">
        <v>72.599999999999994</v>
      </c>
      <c r="F30" s="24">
        <v>0</v>
      </c>
      <c r="G30" s="24">
        <v>0</v>
      </c>
      <c r="H30" s="24">
        <v>0</v>
      </c>
      <c r="I30" s="24">
        <v>59.73</v>
      </c>
      <c r="J30" s="24">
        <v>0</v>
      </c>
      <c r="K30" s="24">
        <v>30.1</v>
      </c>
      <c r="L30" s="24">
        <v>0</v>
      </c>
      <c r="M30" s="24">
        <v>0</v>
      </c>
      <c r="N30" s="24">
        <f>SUM(D30:M30)</f>
        <v>162.42999999999998</v>
      </c>
      <c r="O30" s="24">
        <f t="shared" si="1"/>
        <v>16.242999999999999</v>
      </c>
      <c r="P30" s="25">
        <f t="shared" si="2"/>
        <v>-41.757000000000005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  <c r="ZP30" s="20"/>
      <c r="ZQ30" s="20"/>
      <c r="ZR30" s="20"/>
      <c r="ZS30" s="20"/>
      <c r="ZT30" s="20"/>
      <c r="ZU30" s="20"/>
      <c r="ZV30" s="20"/>
      <c r="ZW30" s="20"/>
      <c r="ZX30" s="20"/>
      <c r="ZY30" s="20"/>
      <c r="ZZ30" s="20"/>
      <c r="AAA30" s="20"/>
      <c r="AAB30" s="20"/>
      <c r="AAC30" s="20"/>
      <c r="AAD30" s="20"/>
      <c r="AAE30" s="20"/>
      <c r="AAF30" s="20"/>
      <c r="AAG30" s="20"/>
      <c r="AAH30" s="20"/>
      <c r="AAI30" s="20"/>
      <c r="AAJ30" s="20"/>
      <c r="AAK30" s="20"/>
      <c r="AAL30" s="20"/>
      <c r="AAM30" s="20"/>
      <c r="AAN30" s="20"/>
      <c r="AAO30" s="20"/>
      <c r="AAP30" s="20"/>
      <c r="AAQ30" s="20"/>
      <c r="AAR30" s="20"/>
      <c r="AAS30" s="20"/>
      <c r="AAT30" s="20"/>
      <c r="AAU30" s="20"/>
      <c r="AAV30" s="20"/>
      <c r="AAW30" s="20"/>
      <c r="AAX30" s="20"/>
      <c r="AAY30" s="20"/>
      <c r="AAZ30" s="20"/>
      <c r="ABA30" s="20"/>
      <c r="ABB30" s="20"/>
      <c r="ABC30" s="20"/>
      <c r="ABD30" s="20"/>
      <c r="ABE30" s="20"/>
      <c r="ABF30" s="20"/>
      <c r="ABG30" s="20"/>
      <c r="ABH30" s="20"/>
      <c r="ABI30" s="20"/>
      <c r="ABJ30" s="20"/>
      <c r="ABK30" s="20"/>
      <c r="ABL30" s="20"/>
      <c r="ABM30" s="20"/>
      <c r="ABN30" s="20"/>
      <c r="ABO30" s="20"/>
      <c r="ABP30" s="20"/>
      <c r="ABQ30" s="20"/>
      <c r="ABR30" s="20"/>
      <c r="ABS30" s="20"/>
      <c r="ABT30" s="20"/>
      <c r="ABU30" s="20"/>
      <c r="ABV30" s="20"/>
      <c r="ABW30" s="20"/>
      <c r="ABX30" s="20"/>
      <c r="ABY30" s="20"/>
      <c r="ABZ30" s="20"/>
      <c r="ACA30" s="20"/>
      <c r="ACB30" s="20"/>
      <c r="ACC30" s="20"/>
      <c r="ACD30" s="20"/>
      <c r="ACE30" s="20"/>
      <c r="ACF30" s="20"/>
      <c r="ACG30" s="20"/>
      <c r="ACH30" s="20"/>
      <c r="ACI30" s="20"/>
      <c r="ACJ30" s="20"/>
      <c r="ACK30" s="20"/>
      <c r="ACL30" s="20"/>
      <c r="ACM30" s="20"/>
      <c r="ACN30" s="20"/>
      <c r="ACO30" s="20"/>
      <c r="ACP30" s="20"/>
      <c r="ACQ30" s="20"/>
      <c r="ACR30" s="20"/>
      <c r="ACS30" s="20"/>
      <c r="ACT30" s="20"/>
      <c r="ACU30" s="20"/>
      <c r="ACV30" s="20"/>
      <c r="ACW30" s="20"/>
      <c r="ACX30" s="20"/>
      <c r="ACY30" s="20"/>
      <c r="ACZ30" s="20"/>
      <c r="ADA30" s="20"/>
      <c r="ADB30" s="20"/>
      <c r="ADC30" s="20"/>
      <c r="ADD30" s="20"/>
      <c r="ADE30" s="20"/>
      <c r="ADF30" s="20"/>
      <c r="ADG30" s="20"/>
      <c r="ADH30" s="20"/>
      <c r="ADI30" s="20"/>
      <c r="ADJ30" s="20"/>
      <c r="ADK30" s="20"/>
      <c r="ADL30" s="20"/>
      <c r="ADM30" s="20"/>
      <c r="ADN30" s="20"/>
      <c r="ADO30" s="20"/>
      <c r="ADP30" s="20"/>
      <c r="ADQ30" s="20"/>
      <c r="ADR30" s="20"/>
      <c r="ADS30" s="20"/>
      <c r="ADT30" s="20"/>
      <c r="ADU30" s="20"/>
      <c r="ADV30" s="20"/>
      <c r="ADW30" s="20"/>
      <c r="ADX30" s="20"/>
      <c r="ADY30" s="20"/>
      <c r="ADZ30" s="20"/>
      <c r="AEA30" s="20"/>
      <c r="AEB30" s="20"/>
      <c r="AEC30" s="20"/>
      <c r="AED30" s="20"/>
      <c r="AEE30" s="20"/>
      <c r="AEF30" s="20"/>
      <c r="AEG30" s="20"/>
      <c r="AEH30" s="20"/>
      <c r="AEI30" s="20"/>
      <c r="AEJ30" s="20"/>
      <c r="AEK30" s="20"/>
      <c r="AEL30" s="20"/>
      <c r="AEM30" s="20"/>
      <c r="AEN30" s="20"/>
      <c r="AEO30" s="20"/>
      <c r="AEP30" s="20"/>
      <c r="AEQ30" s="20"/>
      <c r="AER30" s="20"/>
      <c r="AES30" s="20"/>
      <c r="AET30" s="20"/>
      <c r="AEU30" s="20"/>
      <c r="AEV30" s="20"/>
      <c r="AEW30" s="20"/>
      <c r="AEX30" s="20"/>
      <c r="AEY30" s="20"/>
      <c r="AEZ30" s="20"/>
      <c r="AFA30" s="20"/>
      <c r="AFB30" s="20"/>
      <c r="AFC30" s="20"/>
      <c r="AFD30" s="20"/>
      <c r="AFE30" s="20"/>
      <c r="AFF30" s="20"/>
      <c r="AFG30" s="20"/>
      <c r="AFH30" s="20"/>
      <c r="AFI30" s="20"/>
      <c r="AFJ30" s="20"/>
      <c r="AFK30" s="20"/>
      <c r="AFL30" s="20"/>
      <c r="AFM30" s="20"/>
      <c r="AFN30" s="20"/>
      <c r="AFO30" s="20"/>
      <c r="AFP30" s="20"/>
      <c r="AFQ30" s="20"/>
      <c r="AFR30" s="20"/>
      <c r="AFS30" s="20"/>
      <c r="AFT30" s="20"/>
      <c r="AFU30" s="20"/>
      <c r="AFV30" s="20"/>
      <c r="AFW30" s="20"/>
      <c r="AFX30" s="20"/>
      <c r="AFY30" s="20"/>
      <c r="AFZ30" s="20"/>
      <c r="AGA30" s="20"/>
      <c r="AGB30" s="20"/>
      <c r="AGC30" s="20"/>
      <c r="AGD30" s="20"/>
      <c r="AGE30" s="20"/>
      <c r="AGF30" s="20"/>
      <c r="AGG30" s="20"/>
      <c r="AGH30" s="20"/>
      <c r="AGI30" s="20"/>
      <c r="AGJ30" s="20"/>
      <c r="AGK30" s="20"/>
      <c r="AGL30" s="20"/>
      <c r="AGM30" s="20"/>
      <c r="AGN30" s="20"/>
      <c r="AGO30" s="20"/>
      <c r="AGP30" s="20"/>
      <c r="AGQ30" s="20"/>
      <c r="AGR30" s="20"/>
      <c r="AGS30" s="20"/>
      <c r="AGT30" s="20"/>
      <c r="AGU30" s="20"/>
      <c r="AGV30" s="20"/>
      <c r="AGW30" s="20"/>
      <c r="AGX30" s="20"/>
      <c r="AGY30" s="20"/>
      <c r="AGZ30" s="20"/>
      <c r="AHA30" s="20"/>
      <c r="AHB30" s="20"/>
      <c r="AHC30" s="20"/>
      <c r="AHD30" s="20"/>
      <c r="AHE30" s="20"/>
      <c r="AHF30" s="20"/>
      <c r="AHG30" s="20"/>
      <c r="AHH30" s="20"/>
      <c r="AHI30" s="20"/>
      <c r="AHJ30" s="20"/>
      <c r="AHK30" s="20"/>
      <c r="AHL30" s="20"/>
      <c r="AHM30" s="20"/>
      <c r="AHN30" s="20"/>
      <c r="AHO30" s="20"/>
      <c r="AHP30" s="20"/>
      <c r="AHQ30" s="20"/>
      <c r="AHR30" s="20"/>
      <c r="AHS30" s="20"/>
      <c r="AHT30" s="20"/>
      <c r="AHU30" s="20"/>
      <c r="AHV30" s="20"/>
      <c r="AHW30" s="20"/>
      <c r="AHX30" s="20"/>
      <c r="AHY30" s="20"/>
      <c r="AHZ30" s="20"/>
      <c r="AIA30" s="20"/>
      <c r="AIB30" s="20"/>
      <c r="AIC30" s="20"/>
      <c r="AID30" s="20"/>
      <c r="AIE30" s="20"/>
      <c r="AIF30" s="20"/>
      <c r="AIG30" s="20"/>
      <c r="AIH30" s="20"/>
      <c r="AII30" s="20"/>
      <c r="AIJ30" s="20"/>
      <c r="AIK30" s="20"/>
      <c r="AIL30" s="20"/>
      <c r="AIM30" s="20"/>
      <c r="AIN30" s="20"/>
      <c r="AIO30" s="20"/>
      <c r="AIP30" s="20"/>
      <c r="AIQ30" s="20"/>
      <c r="AIR30" s="20"/>
      <c r="AIS30" s="20"/>
      <c r="AIT30" s="20"/>
      <c r="AIU30" s="20"/>
      <c r="AIV30" s="20"/>
      <c r="AIW30" s="20"/>
      <c r="AIX30" s="20"/>
      <c r="AIY30" s="20"/>
      <c r="AIZ30" s="20"/>
      <c r="AJA30" s="20"/>
      <c r="AJB30" s="20"/>
      <c r="AJC30" s="20"/>
      <c r="AJD30" s="20"/>
      <c r="AJE30" s="20"/>
      <c r="AJF30" s="20"/>
      <c r="AJG30" s="20"/>
      <c r="AJH30" s="20"/>
      <c r="AJI30" s="20"/>
      <c r="AJJ30" s="20"/>
      <c r="AJK30" s="20"/>
      <c r="AJL30" s="20"/>
      <c r="AJM30" s="20"/>
      <c r="AJN30" s="20"/>
      <c r="AJO30" s="20"/>
      <c r="AJP30" s="20"/>
      <c r="AJQ30" s="20"/>
      <c r="AJR30" s="20"/>
      <c r="AJS30" s="20"/>
      <c r="AJT30" s="20"/>
      <c r="AJU30" s="20"/>
      <c r="AJV30" s="20"/>
      <c r="AJW30" s="20"/>
      <c r="AJX30" s="20"/>
      <c r="AJY30" s="20"/>
      <c r="AJZ30" s="20"/>
      <c r="AKA30" s="20"/>
      <c r="AKB30" s="20"/>
      <c r="AKC30" s="20"/>
      <c r="AKD30" s="20"/>
      <c r="AKE30" s="20"/>
      <c r="AKF30" s="20"/>
      <c r="AKG30" s="20"/>
      <c r="AKH30" s="20"/>
      <c r="AKI30" s="20"/>
      <c r="AKJ30" s="20"/>
      <c r="AKK30" s="20"/>
      <c r="AKL30" s="20"/>
      <c r="AKM30" s="20"/>
      <c r="AKN30" s="20"/>
      <c r="AKO30" s="20"/>
      <c r="AKP30" s="20"/>
      <c r="AKQ30" s="20"/>
      <c r="AKR30" s="20"/>
      <c r="AKS30" s="20"/>
      <c r="AKT30" s="20"/>
      <c r="AKU30" s="20"/>
      <c r="AKV30" s="20"/>
      <c r="AKW30" s="20"/>
      <c r="AKX30" s="20"/>
      <c r="AKY30" s="20"/>
      <c r="AKZ30" s="20"/>
      <c r="ALA30" s="20"/>
      <c r="ALB30" s="20"/>
      <c r="ALC30" s="20"/>
      <c r="ALD30" s="20"/>
      <c r="ALE30" s="20"/>
      <c r="ALF30" s="20"/>
      <c r="ALG30" s="20"/>
      <c r="ALH30" s="20"/>
      <c r="ALI30" s="20"/>
      <c r="ALJ30" s="20"/>
      <c r="ALK30" s="20"/>
      <c r="ALL30" s="20"/>
      <c r="ALM30" s="20"/>
      <c r="ALN30" s="20"/>
      <c r="ALO30" s="20"/>
      <c r="ALP30" s="20"/>
      <c r="ALQ30" s="20"/>
      <c r="ALR30" s="20"/>
      <c r="ALS30" s="20"/>
      <c r="ALT30" s="20"/>
      <c r="ALU30" s="20"/>
      <c r="ALV30" s="20"/>
      <c r="ALW30" s="20"/>
      <c r="ALX30" s="20"/>
      <c r="ALY30" s="20"/>
      <c r="ALZ30" s="20"/>
      <c r="AMA30" s="20"/>
      <c r="AMB30" s="20"/>
      <c r="AMC30" s="20"/>
      <c r="AMD30" s="20"/>
      <c r="AME30" s="20"/>
      <c r="AMF30" s="20"/>
      <c r="AMG30" s="20"/>
      <c r="AMH30" s="20"/>
      <c r="AMI30" s="20"/>
      <c r="AMJ30" s="20"/>
      <c r="AMK30" s="20"/>
    </row>
    <row r="31" spans="1:1025" s="21" customFormat="1" ht="12.95" customHeight="1" x14ac:dyDescent="0.25">
      <c r="A31" s="26"/>
      <c r="B31" s="39" t="s">
        <v>266</v>
      </c>
      <c r="C31" s="27">
        <v>58</v>
      </c>
      <c r="D31" s="28">
        <v>0</v>
      </c>
      <c r="E31" s="28">
        <v>0</v>
      </c>
      <c r="F31" s="28">
        <v>0</v>
      </c>
      <c r="G31" s="28">
        <v>58.4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54.55</v>
      </c>
      <c r="N31" s="28">
        <f>Таблица4[[#This Row],[Столбец13]]+Таблица4[[#This Row],[Столбец7]]</f>
        <v>112.94999999999999</v>
      </c>
      <c r="O31" s="28">
        <f>Таблица4[[#This Row],[Столбец14]]/10</f>
        <v>11.294999999999998</v>
      </c>
      <c r="P31" s="29">
        <f>O31-C31</f>
        <v>-46.704999999999998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  <c r="ZP31" s="20"/>
      <c r="ZQ31" s="20"/>
      <c r="ZR31" s="20"/>
      <c r="ZS31" s="20"/>
      <c r="ZT31" s="20"/>
      <c r="ZU31" s="20"/>
      <c r="ZV31" s="20"/>
      <c r="ZW31" s="20"/>
      <c r="ZX31" s="20"/>
      <c r="ZY31" s="20"/>
      <c r="ZZ31" s="20"/>
      <c r="AAA31" s="20"/>
      <c r="AAB31" s="20"/>
      <c r="AAC31" s="20"/>
      <c r="AAD31" s="20"/>
      <c r="AAE31" s="20"/>
      <c r="AAF31" s="20"/>
      <c r="AAG31" s="20"/>
      <c r="AAH31" s="20"/>
      <c r="AAI31" s="20"/>
      <c r="AAJ31" s="20"/>
      <c r="AAK31" s="20"/>
      <c r="AAL31" s="20"/>
      <c r="AAM31" s="20"/>
      <c r="AAN31" s="20"/>
      <c r="AAO31" s="20"/>
      <c r="AAP31" s="20"/>
      <c r="AAQ31" s="20"/>
      <c r="AAR31" s="20"/>
      <c r="AAS31" s="20"/>
      <c r="AAT31" s="20"/>
      <c r="AAU31" s="20"/>
      <c r="AAV31" s="20"/>
      <c r="AAW31" s="20"/>
      <c r="AAX31" s="20"/>
      <c r="AAY31" s="20"/>
      <c r="AAZ31" s="20"/>
      <c r="ABA31" s="20"/>
      <c r="ABB31" s="20"/>
      <c r="ABC31" s="20"/>
      <c r="ABD31" s="20"/>
      <c r="ABE31" s="20"/>
      <c r="ABF31" s="20"/>
      <c r="ABG31" s="20"/>
      <c r="ABH31" s="20"/>
      <c r="ABI31" s="20"/>
      <c r="ABJ31" s="20"/>
      <c r="ABK31" s="20"/>
      <c r="ABL31" s="20"/>
      <c r="ABM31" s="20"/>
      <c r="ABN31" s="20"/>
      <c r="ABO31" s="20"/>
      <c r="ABP31" s="20"/>
      <c r="ABQ31" s="20"/>
      <c r="ABR31" s="20"/>
      <c r="ABS31" s="20"/>
      <c r="ABT31" s="20"/>
      <c r="ABU31" s="20"/>
      <c r="ABV31" s="20"/>
      <c r="ABW31" s="20"/>
      <c r="ABX31" s="20"/>
      <c r="ABY31" s="20"/>
      <c r="ABZ31" s="20"/>
      <c r="ACA31" s="20"/>
      <c r="ACB31" s="20"/>
      <c r="ACC31" s="20"/>
      <c r="ACD31" s="20"/>
      <c r="ACE31" s="20"/>
      <c r="ACF31" s="20"/>
      <c r="ACG31" s="20"/>
      <c r="ACH31" s="20"/>
      <c r="ACI31" s="20"/>
      <c r="ACJ31" s="20"/>
      <c r="ACK31" s="20"/>
      <c r="ACL31" s="20"/>
      <c r="ACM31" s="20"/>
      <c r="ACN31" s="20"/>
      <c r="ACO31" s="20"/>
      <c r="ACP31" s="20"/>
      <c r="ACQ31" s="20"/>
      <c r="ACR31" s="20"/>
      <c r="ACS31" s="20"/>
      <c r="ACT31" s="20"/>
      <c r="ACU31" s="20"/>
      <c r="ACV31" s="20"/>
      <c r="ACW31" s="20"/>
      <c r="ACX31" s="20"/>
      <c r="ACY31" s="20"/>
      <c r="ACZ31" s="20"/>
      <c r="ADA31" s="20"/>
      <c r="ADB31" s="20"/>
      <c r="ADC31" s="20"/>
      <c r="ADD31" s="20"/>
      <c r="ADE31" s="20"/>
      <c r="ADF31" s="20"/>
      <c r="ADG31" s="20"/>
      <c r="ADH31" s="20"/>
      <c r="ADI31" s="20"/>
      <c r="ADJ31" s="20"/>
      <c r="ADK31" s="20"/>
      <c r="ADL31" s="20"/>
      <c r="ADM31" s="20"/>
      <c r="ADN31" s="20"/>
      <c r="ADO31" s="20"/>
      <c r="ADP31" s="20"/>
      <c r="ADQ31" s="20"/>
      <c r="ADR31" s="20"/>
      <c r="ADS31" s="20"/>
      <c r="ADT31" s="20"/>
      <c r="ADU31" s="20"/>
      <c r="ADV31" s="20"/>
      <c r="ADW31" s="20"/>
      <c r="ADX31" s="20"/>
      <c r="ADY31" s="20"/>
      <c r="ADZ31" s="20"/>
      <c r="AEA31" s="20"/>
      <c r="AEB31" s="20"/>
      <c r="AEC31" s="20"/>
      <c r="AED31" s="20"/>
      <c r="AEE31" s="20"/>
      <c r="AEF31" s="20"/>
      <c r="AEG31" s="20"/>
      <c r="AEH31" s="20"/>
      <c r="AEI31" s="20"/>
      <c r="AEJ31" s="20"/>
      <c r="AEK31" s="20"/>
      <c r="AEL31" s="20"/>
      <c r="AEM31" s="20"/>
      <c r="AEN31" s="20"/>
      <c r="AEO31" s="20"/>
      <c r="AEP31" s="20"/>
      <c r="AEQ31" s="20"/>
      <c r="AER31" s="20"/>
      <c r="AES31" s="20"/>
      <c r="AET31" s="20"/>
      <c r="AEU31" s="20"/>
      <c r="AEV31" s="20"/>
      <c r="AEW31" s="20"/>
      <c r="AEX31" s="20"/>
      <c r="AEY31" s="20"/>
      <c r="AEZ31" s="20"/>
      <c r="AFA31" s="20"/>
      <c r="AFB31" s="20"/>
      <c r="AFC31" s="20"/>
      <c r="AFD31" s="20"/>
      <c r="AFE31" s="20"/>
      <c r="AFF31" s="20"/>
      <c r="AFG31" s="20"/>
      <c r="AFH31" s="20"/>
      <c r="AFI31" s="20"/>
      <c r="AFJ31" s="20"/>
      <c r="AFK31" s="20"/>
      <c r="AFL31" s="20"/>
      <c r="AFM31" s="20"/>
      <c r="AFN31" s="20"/>
      <c r="AFO31" s="20"/>
      <c r="AFP31" s="20"/>
      <c r="AFQ31" s="20"/>
      <c r="AFR31" s="20"/>
      <c r="AFS31" s="20"/>
      <c r="AFT31" s="20"/>
      <c r="AFU31" s="20"/>
      <c r="AFV31" s="20"/>
      <c r="AFW31" s="20"/>
      <c r="AFX31" s="20"/>
      <c r="AFY31" s="20"/>
      <c r="AFZ31" s="20"/>
      <c r="AGA31" s="20"/>
      <c r="AGB31" s="20"/>
      <c r="AGC31" s="20"/>
      <c r="AGD31" s="20"/>
      <c r="AGE31" s="20"/>
      <c r="AGF31" s="20"/>
      <c r="AGG31" s="20"/>
      <c r="AGH31" s="20"/>
      <c r="AGI31" s="20"/>
      <c r="AGJ31" s="20"/>
      <c r="AGK31" s="20"/>
      <c r="AGL31" s="20"/>
      <c r="AGM31" s="20"/>
      <c r="AGN31" s="20"/>
      <c r="AGO31" s="20"/>
      <c r="AGP31" s="20"/>
      <c r="AGQ31" s="20"/>
      <c r="AGR31" s="20"/>
      <c r="AGS31" s="20"/>
      <c r="AGT31" s="20"/>
      <c r="AGU31" s="20"/>
      <c r="AGV31" s="20"/>
      <c r="AGW31" s="20"/>
      <c r="AGX31" s="20"/>
      <c r="AGY31" s="20"/>
      <c r="AGZ31" s="20"/>
      <c r="AHA31" s="20"/>
      <c r="AHB31" s="20"/>
      <c r="AHC31" s="20"/>
      <c r="AHD31" s="20"/>
      <c r="AHE31" s="20"/>
      <c r="AHF31" s="20"/>
      <c r="AHG31" s="20"/>
      <c r="AHH31" s="20"/>
      <c r="AHI31" s="20"/>
      <c r="AHJ31" s="20"/>
      <c r="AHK31" s="20"/>
      <c r="AHL31" s="20"/>
      <c r="AHM31" s="20"/>
      <c r="AHN31" s="20"/>
      <c r="AHO31" s="20"/>
      <c r="AHP31" s="20"/>
      <c r="AHQ31" s="20"/>
      <c r="AHR31" s="20"/>
      <c r="AHS31" s="20"/>
      <c r="AHT31" s="20"/>
      <c r="AHU31" s="20"/>
      <c r="AHV31" s="20"/>
      <c r="AHW31" s="20"/>
      <c r="AHX31" s="20"/>
      <c r="AHY31" s="20"/>
      <c r="AHZ31" s="20"/>
      <c r="AIA31" s="20"/>
      <c r="AIB31" s="20"/>
      <c r="AIC31" s="20"/>
      <c r="AID31" s="20"/>
      <c r="AIE31" s="20"/>
      <c r="AIF31" s="20"/>
      <c r="AIG31" s="20"/>
      <c r="AIH31" s="20"/>
      <c r="AII31" s="20"/>
      <c r="AIJ31" s="20"/>
      <c r="AIK31" s="20"/>
      <c r="AIL31" s="20"/>
      <c r="AIM31" s="20"/>
      <c r="AIN31" s="20"/>
      <c r="AIO31" s="20"/>
      <c r="AIP31" s="20"/>
      <c r="AIQ31" s="20"/>
      <c r="AIR31" s="20"/>
      <c r="AIS31" s="20"/>
      <c r="AIT31" s="20"/>
      <c r="AIU31" s="20"/>
      <c r="AIV31" s="20"/>
      <c r="AIW31" s="20"/>
      <c r="AIX31" s="20"/>
      <c r="AIY31" s="20"/>
      <c r="AIZ31" s="20"/>
      <c r="AJA31" s="20"/>
      <c r="AJB31" s="20"/>
      <c r="AJC31" s="20"/>
      <c r="AJD31" s="20"/>
      <c r="AJE31" s="20"/>
      <c r="AJF31" s="20"/>
      <c r="AJG31" s="20"/>
      <c r="AJH31" s="20"/>
      <c r="AJI31" s="20"/>
      <c r="AJJ31" s="20"/>
      <c r="AJK31" s="20"/>
      <c r="AJL31" s="20"/>
      <c r="AJM31" s="20"/>
      <c r="AJN31" s="20"/>
      <c r="AJO31" s="20"/>
      <c r="AJP31" s="20"/>
      <c r="AJQ31" s="20"/>
      <c r="AJR31" s="20"/>
      <c r="AJS31" s="20"/>
      <c r="AJT31" s="20"/>
      <c r="AJU31" s="20"/>
      <c r="AJV31" s="20"/>
      <c r="AJW31" s="20"/>
      <c r="AJX31" s="20"/>
      <c r="AJY31" s="20"/>
      <c r="AJZ31" s="20"/>
      <c r="AKA31" s="20"/>
      <c r="AKB31" s="20"/>
      <c r="AKC31" s="20"/>
      <c r="AKD31" s="20"/>
      <c r="AKE31" s="20"/>
      <c r="AKF31" s="20"/>
      <c r="AKG31" s="20"/>
      <c r="AKH31" s="20"/>
      <c r="AKI31" s="20"/>
      <c r="AKJ31" s="20"/>
      <c r="AKK31" s="20"/>
      <c r="AKL31" s="20"/>
      <c r="AKM31" s="20"/>
      <c r="AKN31" s="20"/>
      <c r="AKO31" s="20"/>
      <c r="AKP31" s="20"/>
      <c r="AKQ31" s="20"/>
      <c r="AKR31" s="20"/>
      <c r="AKS31" s="20"/>
      <c r="AKT31" s="20"/>
      <c r="AKU31" s="20"/>
      <c r="AKV31" s="20"/>
      <c r="AKW31" s="20"/>
      <c r="AKX31" s="20"/>
      <c r="AKY31" s="20"/>
      <c r="AKZ31" s="20"/>
      <c r="ALA31" s="20"/>
      <c r="ALB31" s="20"/>
      <c r="ALC31" s="20"/>
      <c r="ALD31" s="20"/>
      <c r="ALE31" s="20"/>
      <c r="ALF31" s="20"/>
      <c r="ALG31" s="20"/>
      <c r="ALH31" s="20"/>
      <c r="ALI31" s="20"/>
      <c r="ALJ31" s="20"/>
      <c r="ALK31" s="20"/>
      <c r="ALL31" s="20"/>
      <c r="ALM31" s="20"/>
      <c r="ALN31" s="20"/>
      <c r="ALO31" s="20"/>
      <c r="ALP31" s="20"/>
      <c r="ALQ31" s="20"/>
      <c r="ALR31" s="20"/>
      <c r="ALS31" s="20"/>
      <c r="ALT31" s="20"/>
      <c r="ALU31" s="20"/>
      <c r="ALV31" s="20"/>
      <c r="ALW31" s="20"/>
      <c r="ALX31" s="20"/>
      <c r="ALY31" s="20"/>
      <c r="ALZ31" s="20"/>
      <c r="AMA31" s="20"/>
      <c r="AMB31" s="20"/>
      <c r="AMC31" s="20"/>
      <c r="AMD31" s="20"/>
      <c r="AME31" s="20"/>
      <c r="AMF31" s="20"/>
      <c r="AMG31" s="20"/>
      <c r="AMH31" s="20"/>
      <c r="AMI31" s="20"/>
      <c r="AMJ31" s="20"/>
      <c r="AMK31" s="20"/>
    </row>
    <row r="32" spans="1:1025" s="21" customFormat="1" ht="12.95" customHeight="1" x14ac:dyDescent="0.25">
      <c r="A32" s="22">
        <v>14</v>
      </c>
      <c r="B32" s="38" t="s">
        <v>265</v>
      </c>
      <c r="C32" s="23">
        <v>14.7</v>
      </c>
      <c r="D32" s="24">
        <v>0</v>
      </c>
      <c r="E32" s="24">
        <v>0</v>
      </c>
      <c r="F32" s="24">
        <v>0</v>
      </c>
      <c r="G32" s="24">
        <v>15</v>
      </c>
      <c r="H32" s="24">
        <v>0</v>
      </c>
      <c r="I32" s="24">
        <v>0</v>
      </c>
      <c r="J32" s="24">
        <v>15</v>
      </c>
      <c r="K32" s="24">
        <v>0</v>
      </c>
      <c r="L32" s="24">
        <v>0</v>
      </c>
      <c r="M32" s="24">
        <v>0</v>
      </c>
      <c r="N32" s="24">
        <f>SUM(D32:M32)</f>
        <v>30</v>
      </c>
      <c r="O32" s="24">
        <f t="shared" si="1"/>
        <v>3</v>
      </c>
      <c r="P32" s="25">
        <f t="shared" si="2"/>
        <v>-11.7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  <c r="ZP32" s="20"/>
      <c r="ZQ32" s="20"/>
      <c r="ZR32" s="20"/>
      <c r="ZS32" s="20"/>
      <c r="ZT32" s="20"/>
      <c r="ZU32" s="20"/>
      <c r="ZV32" s="20"/>
      <c r="ZW32" s="20"/>
      <c r="ZX32" s="20"/>
      <c r="ZY32" s="20"/>
      <c r="ZZ32" s="20"/>
      <c r="AAA32" s="20"/>
      <c r="AAB32" s="20"/>
      <c r="AAC32" s="20"/>
      <c r="AAD32" s="20"/>
      <c r="AAE32" s="20"/>
      <c r="AAF32" s="20"/>
      <c r="AAG32" s="20"/>
      <c r="AAH32" s="20"/>
      <c r="AAI32" s="20"/>
      <c r="AAJ32" s="20"/>
      <c r="AAK32" s="20"/>
      <c r="AAL32" s="20"/>
      <c r="AAM32" s="20"/>
      <c r="AAN32" s="20"/>
      <c r="AAO32" s="20"/>
      <c r="AAP32" s="20"/>
      <c r="AAQ32" s="20"/>
      <c r="AAR32" s="20"/>
      <c r="AAS32" s="20"/>
      <c r="AAT32" s="20"/>
      <c r="AAU32" s="20"/>
      <c r="AAV32" s="20"/>
      <c r="AAW32" s="20"/>
      <c r="AAX32" s="20"/>
      <c r="AAY32" s="20"/>
      <c r="AAZ32" s="20"/>
      <c r="ABA32" s="20"/>
      <c r="ABB32" s="20"/>
      <c r="ABC32" s="20"/>
      <c r="ABD32" s="20"/>
      <c r="ABE32" s="20"/>
      <c r="ABF32" s="20"/>
      <c r="ABG32" s="20"/>
      <c r="ABH32" s="20"/>
      <c r="ABI32" s="20"/>
      <c r="ABJ32" s="20"/>
      <c r="ABK32" s="20"/>
      <c r="ABL32" s="20"/>
      <c r="ABM32" s="20"/>
      <c r="ABN32" s="20"/>
      <c r="ABO32" s="20"/>
      <c r="ABP32" s="20"/>
      <c r="ABQ32" s="20"/>
      <c r="ABR32" s="20"/>
      <c r="ABS32" s="20"/>
      <c r="ABT32" s="20"/>
      <c r="ABU32" s="20"/>
      <c r="ABV32" s="20"/>
      <c r="ABW32" s="20"/>
      <c r="ABX32" s="20"/>
      <c r="ABY32" s="20"/>
      <c r="ABZ32" s="20"/>
      <c r="ACA32" s="20"/>
      <c r="ACB32" s="20"/>
      <c r="ACC32" s="20"/>
      <c r="ACD32" s="20"/>
      <c r="ACE32" s="20"/>
      <c r="ACF32" s="20"/>
      <c r="ACG32" s="20"/>
      <c r="ACH32" s="20"/>
      <c r="ACI32" s="20"/>
      <c r="ACJ32" s="20"/>
      <c r="ACK32" s="20"/>
      <c r="ACL32" s="20"/>
      <c r="ACM32" s="20"/>
      <c r="ACN32" s="20"/>
      <c r="ACO32" s="20"/>
      <c r="ACP32" s="20"/>
      <c r="ACQ32" s="20"/>
      <c r="ACR32" s="20"/>
      <c r="ACS32" s="20"/>
      <c r="ACT32" s="20"/>
      <c r="ACU32" s="20"/>
      <c r="ACV32" s="20"/>
      <c r="ACW32" s="20"/>
      <c r="ACX32" s="20"/>
      <c r="ACY32" s="20"/>
      <c r="ACZ32" s="20"/>
      <c r="ADA32" s="20"/>
      <c r="ADB32" s="20"/>
      <c r="ADC32" s="20"/>
      <c r="ADD32" s="20"/>
      <c r="ADE32" s="20"/>
      <c r="ADF32" s="20"/>
      <c r="ADG32" s="20"/>
      <c r="ADH32" s="20"/>
      <c r="ADI32" s="20"/>
      <c r="ADJ32" s="20"/>
      <c r="ADK32" s="20"/>
      <c r="ADL32" s="20"/>
      <c r="ADM32" s="20"/>
      <c r="ADN32" s="20"/>
      <c r="ADO32" s="20"/>
      <c r="ADP32" s="20"/>
      <c r="ADQ32" s="20"/>
      <c r="ADR32" s="20"/>
      <c r="ADS32" s="20"/>
      <c r="ADT32" s="20"/>
      <c r="ADU32" s="20"/>
      <c r="ADV32" s="20"/>
      <c r="ADW32" s="20"/>
      <c r="ADX32" s="20"/>
      <c r="ADY32" s="20"/>
      <c r="ADZ32" s="20"/>
      <c r="AEA32" s="20"/>
      <c r="AEB32" s="20"/>
      <c r="AEC32" s="20"/>
      <c r="AED32" s="20"/>
      <c r="AEE32" s="20"/>
      <c r="AEF32" s="20"/>
      <c r="AEG32" s="20"/>
      <c r="AEH32" s="20"/>
      <c r="AEI32" s="20"/>
      <c r="AEJ32" s="20"/>
      <c r="AEK32" s="20"/>
      <c r="AEL32" s="20"/>
      <c r="AEM32" s="20"/>
      <c r="AEN32" s="20"/>
      <c r="AEO32" s="20"/>
      <c r="AEP32" s="20"/>
      <c r="AEQ32" s="20"/>
      <c r="AER32" s="20"/>
      <c r="AES32" s="20"/>
      <c r="AET32" s="20"/>
      <c r="AEU32" s="20"/>
      <c r="AEV32" s="20"/>
      <c r="AEW32" s="20"/>
      <c r="AEX32" s="20"/>
      <c r="AEY32" s="20"/>
      <c r="AEZ32" s="20"/>
      <c r="AFA32" s="20"/>
      <c r="AFB32" s="20"/>
      <c r="AFC32" s="20"/>
      <c r="AFD32" s="20"/>
      <c r="AFE32" s="20"/>
      <c r="AFF32" s="20"/>
      <c r="AFG32" s="20"/>
      <c r="AFH32" s="20"/>
      <c r="AFI32" s="20"/>
      <c r="AFJ32" s="20"/>
      <c r="AFK32" s="20"/>
      <c r="AFL32" s="20"/>
      <c r="AFM32" s="20"/>
      <c r="AFN32" s="20"/>
      <c r="AFO32" s="20"/>
      <c r="AFP32" s="20"/>
      <c r="AFQ32" s="20"/>
      <c r="AFR32" s="20"/>
      <c r="AFS32" s="20"/>
      <c r="AFT32" s="20"/>
      <c r="AFU32" s="20"/>
      <c r="AFV32" s="20"/>
      <c r="AFW32" s="20"/>
      <c r="AFX32" s="20"/>
      <c r="AFY32" s="20"/>
      <c r="AFZ32" s="20"/>
      <c r="AGA32" s="20"/>
      <c r="AGB32" s="20"/>
      <c r="AGC32" s="20"/>
      <c r="AGD32" s="20"/>
      <c r="AGE32" s="20"/>
      <c r="AGF32" s="20"/>
      <c r="AGG32" s="20"/>
      <c r="AGH32" s="20"/>
      <c r="AGI32" s="20"/>
      <c r="AGJ32" s="20"/>
      <c r="AGK32" s="20"/>
      <c r="AGL32" s="20"/>
      <c r="AGM32" s="20"/>
      <c r="AGN32" s="20"/>
      <c r="AGO32" s="20"/>
      <c r="AGP32" s="20"/>
      <c r="AGQ32" s="20"/>
      <c r="AGR32" s="20"/>
      <c r="AGS32" s="20"/>
      <c r="AGT32" s="20"/>
      <c r="AGU32" s="20"/>
      <c r="AGV32" s="20"/>
      <c r="AGW32" s="20"/>
      <c r="AGX32" s="20"/>
      <c r="AGY32" s="20"/>
      <c r="AGZ32" s="20"/>
      <c r="AHA32" s="20"/>
      <c r="AHB32" s="20"/>
      <c r="AHC32" s="20"/>
      <c r="AHD32" s="20"/>
      <c r="AHE32" s="20"/>
      <c r="AHF32" s="20"/>
      <c r="AHG32" s="20"/>
      <c r="AHH32" s="20"/>
      <c r="AHI32" s="20"/>
      <c r="AHJ32" s="20"/>
      <c r="AHK32" s="20"/>
      <c r="AHL32" s="20"/>
      <c r="AHM32" s="20"/>
      <c r="AHN32" s="20"/>
      <c r="AHO32" s="20"/>
      <c r="AHP32" s="20"/>
      <c r="AHQ32" s="20"/>
      <c r="AHR32" s="20"/>
      <c r="AHS32" s="20"/>
      <c r="AHT32" s="20"/>
      <c r="AHU32" s="20"/>
      <c r="AHV32" s="20"/>
      <c r="AHW32" s="20"/>
      <c r="AHX32" s="20"/>
      <c r="AHY32" s="20"/>
      <c r="AHZ32" s="20"/>
      <c r="AIA32" s="20"/>
      <c r="AIB32" s="20"/>
      <c r="AIC32" s="20"/>
      <c r="AID32" s="20"/>
      <c r="AIE32" s="20"/>
      <c r="AIF32" s="20"/>
      <c r="AIG32" s="20"/>
      <c r="AIH32" s="20"/>
      <c r="AII32" s="20"/>
      <c r="AIJ32" s="20"/>
      <c r="AIK32" s="20"/>
      <c r="AIL32" s="20"/>
      <c r="AIM32" s="20"/>
      <c r="AIN32" s="20"/>
      <c r="AIO32" s="20"/>
      <c r="AIP32" s="20"/>
      <c r="AIQ32" s="20"/>
      <c r="AIR32" s="20"/>
      <c r="AIS32" s="20"/>
      <c r="AIT32" s="20"/>
      <c r="AIU32" s="20"/>
      <c r="AIV32" s="20"/>
      <c r="AIW32" s="20"/>
      <c r="AIX32" s="20"/>
      <c r="AIY32" s="20"/>
      <c r="AIZ32" s="20"/>
      <c r="AJA32" s="20"/>
      <c r="AJB32" s="20"/>
      <c r="AJC32" s="20"/>
      <c r="AJD32" s="20"/>
      <c r="AJE32" s="20"/>
      <c r="AJF32" s="20"/>
      <c r="AJG32" s="20"/>
      <c r="AJH32" s="20"/>
      <c r="AJI32" s="20"/>
      <c r="AJJ32" s="20"/>
      <c r="AJK32" s="20"/>
      <c r="AJL32" s="20"/>
      <c r="AJM32" s="20"/>
      <c r="AJN32" s="20"/>
      <c r="AJO32" s="20"/>
      <c r="AJP32" s="20"/>
      <c r="AJQ32" s="20"/>
      <c r="AJR32" s="20"/>
      <c r="AJS32" s="20"/>
      <c r="AJT32" s="20"/>
      <c r="AJU32" s="20"/>
      <c r="AJV32" s="20"/>
      <c r="AJW32" s="20"/>
      <c r="AJX32" s="20"/>
      <c r="AJY32" s="20"/>
      <c r="AJZ32" s="20"/>
      <c r="AKA32" s="20"/>
      <c r="AKB32" s="20"/>
      <c r="AKC32" s="20"/>
      <c r="AKD32" s="20"/>
      <c r="AKE32" s="20"/>
      <c r="AKF32" s="20"/>
      <c r="AKG32" s="20"/>
      <c r="AKH32" s="20"/>
      <c r="AKI32" s="20"/>
      <c r="AKJ32" s="20"/>
      <c r="AKK32" s="20"/>
      <c r="AKL32" s="20"/>
      <c r="AKM32" s="20"/>
      <c r="AKN32" s="20"/>
      <c r="AKO32" s="20"/>
      <c r="AKP32" s="20"/>
      <c r="AKQ32" s="20"/>
      <c r="AKR32" s="20"/>
      <c r="AKS32" s="20"/>
      <c r="AKT32" s="20"/>
      <c r="AKU32" s="20"/>
      <c r="AKV32" s="20"/>
      <c r="AKW32" s="20"/>
      <c r="AKX32" s="20"/>
      <c r="AKY32" s="20"/>
      <c r="AKZ32" s="20"/>
      <c r="ALA32" s="20"/>
      <c r="ALB32" s="20"/>
      <c r="ALC32" s="20"/>
      <c r="ALD32" s="20"/>
      <c r="ALE32" s="20"/>
      <c r="ALF32" s="20"/>
      <c r="ALG32" s="20"/>
      <c r="ALH32" s="20"/>
      <c r="ALI32" s="20"/>
      <c r="ALJ32" s="20"/>
      <c r="ALK32" s="20"/>
      <c r="ALL32" s="20"/>
      <c r="ALM32" s="20"/>
      <c r="ALN32" s="20"/>
      <c r="ALO32" s="20"/>
      <c r="ALP32" s="20"/>
      <c r="ALQ32" s="20"/>
      <c r="ALR32" s="20"/>
      <c r="ALS32" s="20"/>
      <c r="ALT32" s="20"/>
      <c r="ALU32" s="20"/>
      <c r="ALV32" s="20"/>
      <c r="ALW32" s="20"/>
      <c r="ALX32" s="20"/>
      <c r="ALY32" s="20"/>
      <c r="ALZ32" s="20"/>
      <c r="AMA32" s="20"/>
      <c r="AMB32" s="20"/>
      <c r="AMC32" s="20"/>
      <c r="AMD32" s="20"/>
      <c r="AME32" s="20"/>
      <c r="AMF32" s="20"/>
      <c r="AMG32" s="20"/>
      <c r="AMH32" s="20"/>
      <c r="AMI32" s="20"/>
      <c r="AMJ32" s="20"/>
      <c r="AMK32" s="20"/>
    </row>
    <row r="33" spans="1:1025" s="21" customFormat="1" ht="12.95" customHeight="1" x14ac:dyDescent="0.25">
      <c r="A33" s="26"/>
      <c r="B33" s="39" t="s">
        <v>265</v>
      </c>
      <c r="C33" s="27">
        <v>14.7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>
        <f>O33-C33</f>
        <v>-14.7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  <c r="ZP33" s="20"/>
      <c r="ZQ33" s="20"/>
      <c r="ZR33" s="20"/>
      <c r="ZS33" s="20"/>
      <c r="ZT33" s="20"/>
      <c r="ZU33" s="20"/>
      <c r="ZV33" s="20"/>
      <c r="ZW33" s="20"/>
      <c r="ZX33" s="20"/>
      <c r="ZY33" s="20"/>
      <c r="ZZ33" s="20"/>
      <c r="AAA33" s="20"/>
      <c r="AAB33" s="20"/>
      <c r="AAC33" s="20"/>
      <c r="AAD33" s="20"/>
      <c r="AAE33" s="20"/>
      <c r="AAF33" s="20"/>
      <c r="AAG33" s="20"/>
      <c r="AAH33" s="20"/>
      <c r="AAI33" s="20"/>
      <c r="AAJ33" s="20"/>
      <c r="AAK33" s="20"/>
      <c r="AAL33" s="20"/>
      <c r="AAM33" s="20"/>
      <c r="AAN33" s="20"/>
      <c r="AAO33" s="20"/>
      <c r="AAP33" s="20"/>
      <c r="AAQ33" s="20"/>
      <c r="AAR33" s="20"/>
      <c r="AAS33" s="20"/>
      <c r="AAT33" s="20"/>
      <c r="AAU33" s="20"/>
      <c r="AAV33" s="20"/>
      <c r="AAW33" s="20"/>
      <c r="AAX33" s="20"/>
      <c r="AAY33" s="20"/>
      <c r="AAZ33" s="20"/>
      <c r="ABA33" s="20"/>
      <c r="ABB33" s="20"/>
      <c r="ABC33" s="20"/>
      <c r="ABD33" s="20"/>
      <c r="ABE33" s="20"/>
      <c r="ABF33" s="20"/>
      <c r="ABG33" s="20"/>
      <c r="ABH33" s="20"/>
      <c r="ABI33" s="20"/>
      <c r="ABJ33" s="20"/>
      <c r="ABK33" s="20"/>
      <c r="ABL33" s="20"/>
      <c r="ABM33" s="20"/>
      <c r="ABN33" s="20"/>
      <c r="ABO33" s="20"/>
      <c r="ABP33" s="20"/>
      <c r="ABQ33" s="20"/>
      <c r="ABR33" s="20"/>
      <c r="ABS33" s="20"/>
      <c r="ABT33" s="20"/>
      <c r="ABU33" s="20"/>
      <c r="ABV33" s="20"/>
      <c r="ABW33" s="20"/>
      <c r="ABX33" s="20"/>
      <c r="ABY33" s="20"/>
      <c r="ABZ33" s="20"/>
      <c r="ACA33" s="20"/>
      <c r="ACB33" s="20"/>
      <c r="ACC33" s="20"/>
      <c r="ACD33" s="20"/>
      <c r="ACE33" s="20"/>
      <c r="ACF33" s="20"/>
      <c r="ACG33" s="20"/>
      <c r="ACH33" s="20"/>
      <c r="ACI33" s="20"/>
      <c r="ACJ33" s="20"/>
      <c r="ACK33" s="20"/>
      <c r="ACL33" s="20"/>
      <c r="ACM33" s="20"/>
      <c r="ACN33" s="20"/>
      <c r="ACO33" s="20"/>
      <c r="ACP33" s="20"/>
      <c r="ACQ33" s="20"/>
      <c r="ACR33" s="20"/>
      <c r="ACS33" s="20"/>
      <c r="ACT33" s="20"/>
      <c r="ACU33" s="20"/>
      <c r="ACV33" s="20"/>
      <c r="ACW33" s="20"/>
      <c r="ACX33" s="20"/>
      <c r="ACY33" s="20"/>
      <c r="ACZ33" s="20"/>
      <c r="ADA33" s="20"/>
      <c r="ADB33" s="20"/>
      <c r="ADC33" s="20"/>
      <c r="ADD33" s="20"/>
      <c r="ADE33" s="20"/>
      <c r="ADF33" s="20"/>
      <c r="ADG33" s="20"/>
      <c r="ADH33" s="20"/>
      <c r="ADI33" s="20"/>
      <c r="ADJ33" s="20"/>
      <c r="ADK33" s="20"/>
      <c r="ADL33" s="20"/>
      <c r="ADM33" s="20"/>
      <c r="ADN33" s="20"/>
      <c r="ADO33" s="20"/>
      <c r="ADP33" s="20"/>
      <c r="ADQ33" s="20"/>
      <c r="ADR33" s="20"/>
      <c r="ADS33" s="20"/>
      <c r="ADT33" s="20"/>
      <c r="ADU33" s="20"/>
      <c r="ADV33" s="20"/>
      <c r="ADW33" s="20"/>
      <c r="ADX33" s="20"/>
      <c r="ADY33" s="20"/>
      <c r="ADZ33" s="20"/>
      <c r="AEA33" s="20"/>
      <c r="AEB33" s="20"/>
      <c r="AEC33" s="20"/>
      <c r="AED33" s="20"/>
      <c r="AEE33" s="20"/>
      <c r="AEF33" s="20"/>
      <c r="AEG33" s="20"/>
      <c r="AEH33" s="20"/>
      <c r="AEI33" s="20"/>
      <c r="AEJ33" s="20"/>
      <c r="AEK33" s="20"/>
      <c r="AEL33" s="20"/>
      <c r="AEM33" s="20"/>
      <c r="AEN33" s="20"/>
      <c r="AEO33" s="20"/>
      <c r="AEP33" s="20"/>
      <c r="AEQ33" s="20"/>
      <c r="AER33" s="20"/>
      <c r="AES33" s="20"/>
      <c r="AET33" s="20"/>
      <c r="AEU33" s="20"/>
      <c r="AEV33" s="20"/>
      <c r="AEW33" s="20"/>
      <c r="AEX33" s="20"/>
      <c r="AEY33" s="20"/>
      <c r="AEZ33" s="20"/>
      <c r="AFA33" s="20"/>
      <c r="AFB33" s="20"/>
      <c r="AFC33" s="20"/>
      <c r="AFD33" s="20"/>
      <c r="AFE33" s="20"/>
      <c r="AFF33" s="20"/>
      <c r="AFG33" s="20"/>
      <c r="AFH33" s="20"/>
      <c r="AFI33" s="20"/>
      <c r="AFJ33" s="20"/>
      <c r="AFK33" s="20"/>
      <c r="AFL33" s="20"/>
      <c r="AFM33" s="20"/>
      <c r="AFN33" s="20"/>
      <c r="AFO33" s="20"/>
      <c r="AFP33" s="20"/>
      <c r="AFQ33" s="20"/>
      <c r="AFR33" s="20"/>
      <c r="AFS33" s="20"/>
      <c r="AFT33" s="20"/>
      <c r="AFU33" s="20"/>
      <c r="AFV33" s="20"/>
      <c r="AFW33" s="20"/>
      <c r="AFX33" s="20"/>
      <c r="AFY33" s="20"/>
      <c r="AFZ33" s="20"/>
      <c r="AGA33" s="20"/>
      <c r="AGB33" s="20"/>
      <c r="AGC33" s="20"/>
      <c r="AGD33" s="20"/>
      <c r="AGE33" s="20"/>
      <c r="AGF33" s="20"/>
      <c r="AGG33" s="20"/>
      <c r="AGH33" s="20"/>
      <c r="AGI33" s="20"/>
      <c r="AGJ33" s="20"/>
      <c r="AGK33" s="20"/>
      <c r="AGL33" s="20"/>
      <c r="AGM33" s="20"/>
      <c r="AGN33" s="20"/>
      <c r="AGO33" s="20"/>
      <c r="AGP33" s="20"/>
      <c r="AGQ33" s="20"/>
      <c r="AGR33" s="20"/>
      <c r="AGS33" s="20"/>
      <c r="AGT33" s="20"/>
      <c r="AGU33" s="20"/>
      <c r="AGV33" s="20"/>
      <c r="AGW33" s="20"/>
      <c r="AGX33" s="20"/>
      <c r="AGY33" s="20"/>
      <c r="AGZ33" s="20"/>
      <c r="AHA33" s="20"/>
      <c r="AHB33" s="20"/>
      <c r="AHC33" s="20"/>
      <c r="AHD33" s="20"/>
      <c r="AHE33" s="20"/>
      <c r="AHF33" s="20"/>
      <c r="AHG33" s="20"/>
      <c r="AHH33" s="20"/>
      <c r="AHI33" s="20"/>
      <c r="AHJ33" s="20"/>
      <c r="AHK33" s="20"/>
      <c r="AHL33" s="20"/>
      <c r="AHM33" s="20"/>
      <c r="AHN33" s="20"/>
      <c r="AHO33" s="20"/>
      <c r="AHP33" s="20"/>
      <c r="AHQ33" s="20"/>
      <c r="AHR33" s="20"/>
      <c r="AHS33" s="20"/>
      <c r="AHT33" s="20"/>
      <c r="AHU33" s="20"/>
      <c r="AHV33" s="20"/>
      <c r="AHW33" s="20"/>
      <c r="AHX33" s="20"/>
      <c r="AHY33" s="20"/>
      <c r="AHZ33" s="20"/>
      <c r="AIA33" s="20"/>
      <c r="AIB33" s="20"/>
      <c r="AIC33" s="20"/>
      <c r="AID33" s="20"/>
      <c r="AIE33" s="20"/>
      <c r="AIF33" s="20"/>
      <c r="AIG33" s="20"/>
      <c r="AIH33" s="20"/>
      <c r="AII33" s="20"/>
      <c r="AIJ33" s="20"/>
      <c r="AIK33" s="20"/>
      <c r="AIL33" s="20"/>
      <c r="AIM33" s="20"/>
      <c r="AIN33" s="20"/>
      <c r="AIO33" s="20"/>
      <c r="AIP33" s="20"/>
      <c r="AIQ33" s="20"/>
      <c r="AIR33" s="20"/>
      <c r="AIS33" s="20"/>
      <c r="AIT33" s="20"/>
      <c r="AIU33" s="20"/>
      <c r="AIV33" s="20"/>
      <c r="AIW33" s="20"/>
      <c r="AIX33" s="20"/>
      <c r="AIY33" s="20"/>
      <c r="AIZ33" s="20"/>
      <c r="AJA33" s="20"/>
      <c r="AJB33" s="20"/>
      <c r="AJC33" s="20"/>
      <c r="AJD33" s="20"/>
      <c r="AJE33" s="20"/>
      <c r="AJF33" s="20"/>
      <c r="AJG33" s="20"/>
      <c r="AJH33" s="20"/>
      <c r="AJI33" s="20"/>
      <c r="AJJ33" s="20"/>
      <c r="AJK33" s="20"/>
      <c r="AJL33" s="20"/>
      <c r="AJM33" s="20"/>
      <c r="AJN33" s="20"/>
      <c r="AJO33" s="20"/>
      <c r="AJP33" s="20"/>
      <c r="AJQ33" s="20"/>
      <c r="AJR33" s="20"/>
      <c r="AJS33" s="20"/>
      <c r="AJT33" s="20"/>
      <c r="AJU33" s="20"/>
      <c r="AJV33" s="20"/>
      <c r="AJW33" s="20"/>
      <c r="AJX33" s="20"/>
      <c r="AJY33" s="20"/>
      <c r="AJZ33" s="20"/>
      <c r="AKA33" s="20"/>
      <c r="AKB33" s="20"/>
      <c r="AKC33" s="20"/>
      <c r="AKD33" s="20"/>
      <c r="AKE33" s="20"/>
      <c r="AKF33" s="20"/>
      <c r="AKG33" s="20"/>
      <c r="AKH33" s="20"/>
      <c r="AKI33" s="20"/>
      <c r="AKJ33" s="20"/>
      <c r="AKK33" s="20"/>
      <c r="AKL33" s="20"/>
      <c r="AKM33" s="20"/>
      <c r="AKN33" s="20"/>
      <c r="AKO33" s="20"/>
      <c r="AKP33" s="20"/>
      <c r="AKQ33" s="20"/>
      <c r="AKR33" s="20"/>
      <c r="AKS33" s="20"/>
      <c r="AKT33" s="20"/>
      <c r="AKU33" s="20"/>
      <c r="AKV33" s="20"/>
      <c r="AKW33" s="20"/>
      <c r="AKX33" s="20"/>
      <c r="AKY33" s="20"/>
      <c r="AKZ33" s="20"/>
      <c r="ALA33" s="20"/>
      <c r="ALB33" s="20"/>
      <c r="ALC33" s="20"/>
      <c r="ALD33" s="20"/>
      <c r="ALE33" s="20"/>
      <c r="ALF33" s="20"/>
      <c r="ALG33" s="20"/>
      <c r="ALH33" s="20"/>
      <c r="ALI33" s="20"/>
      <c r="ALJ33" s="20"/>
      <c r="ALK33" s="20"/>
      <c r="ALL33" s="20"/>
      <c r="ALM33" s="20"/>
      <c r="ALN33" s="20"/>
      <c r="ALO33" s="20"/>
      <c r="ALP33" s="20"/>
      <c r="ALQ33" s="20"/>
      <c r="ALR33" s="20"/>
      <c r="ALS33" s="20"/>
      <c r="ALT33" s="20"/>
      <c r="ALU33" s="20"/>
      <c r="ALV33" s="20"/>
      <c r="ALW33" s="20"/>
      <c r="ALX33" s="20"/>
      <c r="ALY33" s="20"/>
      <c r="ALZ33" s="20"/>
      <c r="AMA33" s="20"/>
      <c r="AMB33" s="20"/>
      <c r="AMC33" s="20"/>
      <c r="AMD33" s="20"/>
      <c r="AME33" s="20"/>
      <c r="AMF33" s="20"/>
      <c r="AMG33" s="20"/>
      <c r="AMH33" s="20"/>
      <c r="AMI33" s="20"/>
      <c r="AMJ33" s="20"/>
      <c r="AMK33" s="20"/>
    </row>
    <row r="34" spans="1:1025" s="21" customFormat="1" ht="12.95" customHeight="1" x14ac:dyDescent="0.25">
      <c r="A34" s="22">
        <v>15</v>
      </c>
      <c r="B34" s="38" t="s">
        <v>225</v>
      </c>
      <c r="C34" s="23">
        <v>300</v>
      </c>
      <c r="D34" s="24">
        <f>118+100</f>
        <v>218</v>
      </c>
      <c r="E34" s="24"/>
      <c r="F34" s="24">
        <v>139</v>
      </c>
      <c r="G34" s="24">
        <v>88</v>
      </c>
      <c r="H34" s="24">
        <f>156+20.57</f>
        <v>176.57</v>
      </c>
      <c r="I34" s="24">
        <f>17.48+35+22.4+22.5</f>
        <v>97.38</v>
      </c>
      <c r="J34" s="24">
        <v>190</v>
      </c>
      <c r="K34" s="24">
        <v>89</v>
      </c>
      <c r="L34" s="24">
        <v>245</v>
      </c>
      <c r="M34" s="24">
        <v>18.399999999999999</v>
      </c>
      <c r="N34" s="24">
        <f>SUM(D34:M34)</f>
        <v>1261.3499999999999</v>
      </c>
      <c r="O34" s="24">
        <f t="shared" si="1"/>
        <v>126.13499999999999</v>
      </c>
      <c r="P34" s="25">
        <f t="shared" si="2"/>
        <v>-173.86500000000001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  <c r="AMG34" s="20"/>
      <c r="AMH34" s="20"/>
      <c r="AMI34" s="20"/>
      <c r="AMJ34" s="20"/>
      <c r="AMK34" s="20"/>
    </row>
    <row r="35" spans="1:1025" s="21" customFormat="1" ht="12.95" customHeight="1" x14ac:dyDescent="0.25">
      <c r="A35" s="26"/>
      <c r="B35" s="39" t="s">
        <v>225</v>
      </c>
      <c r="C35" s="27">
        <v>300</v>
      </c>
      <c r="D35" s="28">
        <v>200</v>
      </c>
      <c r="E35" s="28"/>
      <c r="F35" s="28"/>
      <c r="G35" s="28">
        <v>24</v>
      </c>
      <c r="H35" s="28">
        <v>32.799999999999997</v>
      </c>
      <c r="I35" s="28">
        <v>200</v>
      </c>
      <c r="J35" s="28"/>
      <c r="K35" s="28"/>
      <c r="L35" s="28"/>
      <c r="M35" s="28">
        <v>22.5</v>
      </c>
      <c r="N35" s="28">
        <f>Таблица4[[#This Row],[Столбец13]]+Таблица4[[#This Row],[Столбец9]]+Таблица4[[#This Row],[Столбец8]]+Таблица4[[#This Row],[Столбец7]]+Таблица4[[#This Row],[Столбец4]]</f>
        <v>479.3</v>
      </c>
      <c r="O35" s="28">
        <f>Таблица4[[#This Row],[Столбец14]]/10</f>
        <v>47.93</v>
      </c>
      <c r="P35" s="29">
        <f>O35-C35</f>
        <v>-252.07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  <c r="ZP35" s="20"/>
      <c r="ZQ35" s="20"/>
      <c r="ZR35" s="20"/>
      <c r="ZS35" s="20"/>
      <c r="ZT35" s="20"/>
      <c r="ZU35" s="20"/>
      <c r="ZV35" s="20"/>
      <c r="ZW35" s="20"/>
      <c r="ZX35" s="20"/>
      <c r="ZY35" s="20"/>
      <c r="ZZ35" s="20"/>
      <c r="AAA35" s="20"/>
      <c r="AAB35" s="20"/>
      <c r="AAC35" s="20"/>
      <c r="AAD35" s="20"/>
      <c r="AAE35" s="20"/>
      <c r="AAF35" s="20"/>
      <c r="AAG35" s="20"/>
      <c r="AAH35" s="20"/>
      <c r="AAI35" s="20"/>
      <c r="AAJ35" s="20"/>
      <c r="AAK35" s="20"/>
      <c r="AAL35" s="20"/>
      <c r="AAM35" s="20"/>
      <c r="AAN35" s="20"/>
      <c r="AAO35" s="20"/>
      <c r="AAP35" s="20"/>
      <c r="AAQ35" s="20"/>
      <c r="AAR35" s="20"/>
      <c r="AAS35" s="20"/>
      <c r="AAT35" s="20"/>
      <c r="AAU35" s="20"/>
      <c r="AAV35" s="20"/>
      <c r="AAW35" s="20"/>
      <c r="AAX35" s="20"/>
      <c r="AAY35" s="20"/>
      <c r="AAZ35" s="20"/>
      <c r="ABA35" s="20"/>
      <c r="ABB35" s="20"/>
      <c r="ABC35" s="20"/>
      <c r="ABD35" s="20"/>
      <c r="ABE35" s="20"/>
      <c r="ABF35" s="20"/>
      <c r="ABG35" s="20"/>
      <c r="ABH35" s="20"/>
      <c r="ABI35" s="20"/>
      <c r="ABJ35" s="20"/>
      <c r="ABK35" s="20"/>
      <c r="ABL35" s="20"/>
      <c r="ABM35" s="20"/>
      <c r="ABN35" s="20"/>
      <c r="ABO35" s="20"/>
      <c r="ABP35" s="20"/>
      <c r="ABQ35" s="20"/>
      <c r="ABR35" s="20"/>
      <c r="ABS35" s="20"/>
      <c r="ABT35" s="20"/>
      <c r="ABU35" s="20"/>
      <c r="ABV35" s="20"/>
      <c r="ABW35" s="20"/>
      <c r="ABX35" s="20"/>
      <c r="ABY35" s="20"/>
      <c r="ABZ35" s="20"/>
      <c r="ACA35" s="20"/>
      <c r="ACB35" s="20"/>
      <c r="ACC35" s="20"/>
      <c r="ACD35" s="20"/>
      <c r="ACE35" s="20"/>
      <c r="ACF35" s="20"/>
      <c r="ACG35" s="20"/>
      <c r="ACH35" s="20"/>
      <c r="ACI35" s="20"/>
      <c r="ACJ35" s="20"/>
      <c r="ACK35" s="20"/>
      <c r="ACL35" s="20"/>
      <c r="ACM35" s="20"/>
      <c r="ACN35" s="20"/>
      <c r="ACO35" s="20"/>
      <c r="ACP35" s="20"/>
      <c r="ACQ35" s="20"/>
      <c r="ACR35" s="20"/>
      <c r="ACS35" s="20"/>
      <c r="ACT35" s="20"/>
      <c r="ACU35" s="20"/>
      <c r="ACV35" s="20"/>
      <c r="ACW35" s="20"/>
      <c r="ACX35" s="20"/>
      <c r="ACY35" s="20"/>
      <c r="ACZ35" s="20"/>
      <c r="ADA35" s="20"/>
      <c r="ADB35" s="20"/>
      <c r="ADC35" s="20"/>
      <c r="ADD35" s="20"/>
      <c r="ADE35" s="20"/>
      <c r="ADF35" s="20"/>
      <c r="ADG35" s="20"/>
      <c r="ADH35" s="20"/>
      <c r="ADI35" s="20"/>
      <c r="ADJ35" s="20"/>
      <c r="ADK35" s="20"/>
      <c r="ADL35" s="20"/>
      <c r="ADM35" s="20"/>
      <c r="ADN35" s="20"/>
      <c r="ADO35" s="20"/>
      <c r="ADP35" s="20"/>
      <c r="ADQ35" s="20"/>
      <c r="ADR35" s="20"/>
      <c r="ADS35" s="20"/>
      <c r="ADT35" s="20"/>
      <c r="ADU35" s="20"/>
      <c r="ADV35" s="20"/>
      <c r="ADW35" s="20"/>
      <c r="ADX35" s="20"/>
      <c r="ADY35" s="20"/>
      <c r="ADZ35" s="20"/>
      <c r="AEA35" s="20"/>
      <c r="AEB35" s="20"/>
      <c r="AEC35" s="20"/>
      <c r="AED35" s="20"/>
      <c r="AEE35" s="20"/>
      <c r="AEF35" s="20"/>
      <c r="AEG35" s="20"/>
      <c r="AEH35" s="20"/>
      <c r="AEI35" s="20"/>
      <c r="AEJ35" s="20"/>
      <c r="AEK35" s="20"/>
      <c r="AEL35" s="20"/>
      <c r="AEM35" s="20"/>
      <c r="AEN35" s="20"/>
      <c r="AEO35" s="20"/>
      <c r="AEP35" s="20"/>
      <c r="AEQ35" s="20"/>
      <c r="AER35" s="20"/>
      <c r="AES35" s="20"/>
      <c r="AET35" s="20"/>
      <c r="AEU35" s="20"/>
      <c r="AEV35" s="20"/>
      <c r="AEW35" s="20"/>
      <c r="AEX35" s="20"/>
      <c r="AEY35" s="20"/>
      <c r="AEZ35" s="20"/>
      <c r="AFA35" s="20"/>
      <c r="AFB35" s="20"/>
      <c r="AFC35" s="20"/>
      <c r="AFD35" s="20"/>
      <c r="AFE35" s="20"/>
      <c r="AFF35" s="20"/>
      <c r="AFG35" s="20"/>
      <c r="AFH35" s="20"/>
      <c r="AFI35" s="20"/>
      <c r="AFJ35" s="20"/>
      <c r="AFK35" s="20"/>
      <c r="AFL35" s="20"/>
      <c r="AFM35" s="20"/>
      <c r="AFN35" s="20"/>
      <c r="AFO35" s="20"/>
      <c r="AFP35" s="20"/>
      <c r="AFQ35" s="20"/>
      <c r="AFR35" s="20"/>
      <c r="AFS35" s="20"/>
      <c r="AFT35" s="20"/>
      <c r="AFU35" s="20"/>
      <c r="AFV35" s="20"/>
      <c r="AFW35" s="20"/>
      <c r="AFX35" s="20"/>
      <c r="AFY35" s="20"/>
      <c r="AFZ35" s="20"/>
      <c r="AGA35" s="20"/>
      <c r="AGB35" s="20"/>
      <c r="AGC35" s="20"/>
      <c r="AGD35" s="20"/>
      <c r="AGE35" s="20"/>
      <c r="AGF35" s="20"/>
      <c r="AGG35" s="20"/>
      <c r="AGH35" s="20"/>
      <c r="AGI35" s="20"/>
      <c r="AGJ35" s="20"/>
      <c r="AGK35" s="20"/>
      <c r="AGL35" s="20"/>
      <c r="AGM35" s="20"/>
      <c r="AGN35" s="20"/>
      <c r="AGO35" s="20"/>
      <c r="AGP35" s="20"/>
      <c r="AGQ35" s="20"/>
      <c r="AGR35" s="20"/>
      <c r="AGS35" s="20"/>
      <c r="AGT35" s="20"/>
      <c r="AGU35" s="20"/>
      <c r="AGV35" s="20"/>
      <c r="AGW35" s="20"/>
      <c r="AGX35" s="20"/>
      <c r="AGY35" s="20"/>
      <c r="AGZ35" s="20"/>
      <c r="AHA35" s="20"/>
      <c r="AHB35" s="20"/>
      <c r="AHC35" s="20"/>
      <c r="AHD35" s="20"/>
      <c r="AHE35" s="20"/>
      <c r="AHF35" s="20"/>
      <c r="AHG35" s="20"/>
      <c r="AHH35" s="20"/>
      <c r="AHI35" s="20"/>
      <c r="AHJ35" s="20"/>
      <c r="AHK35" s="20"/>
      <c r="AHL35" s="20"/>
      <c r="AHM35" s="20"/>
      <c r="AHN35" s="20"/>
      <c r="AHO35" s="20"/>
      <c r="AHP35" s="20"/>
      <c r="AHQ35" s="20"/>
      <c r="AHR35" s="20"/>
      <c r="AHS35" s="20"/>
      <c r="AHT35" s="20"/>
      <c r="AHU35" s="20"/>
      <c r="AHV35" s="20"/>
      <c r="AHW35" s="20"/>
      <c r="AHX35" s="20"/>
      <c r="AHY35" s="20"/>
      <c r="AHZ35" s="20"/>
      <c r="AIA35" s="20"/>
      <c r="AIB35" s="20"/>
      <c r="AIC35" s="20"/>
      <c r="AID35" s="20"/>
      <c r="AIE35" s="20"/>
      <c r="AIF35" s="20"/>
      <c r="AIG35" s="20"/>
      <c r="AIH35" s="20"/>
      <c r="AII35" s="20"/>
      <c r="AIJ35" s="20"/>
      <c r="AIK35" s="20"/>
      <c r="AIL35" s="20"/>
      <c r="AIM35" s="20"/>
      <c r="AIN35" s="20"/>
      <c r="AIO35" s="20"/>
      <c r="AIP35" s="20"/>
      <c r="AIQ35" s="20"/>
      <c r="AIR35" s="20"/>
      <c r="AIS35" s="20"/>
      <c r="AIT35" s="20"/>
      <c r="AIU35" s="20"/>
      <c r="AIV35" s="20"/>
      <c r="AIW35" s="20"/>
      <c r="AIX35" s="20"/>
      <c r="AIY35" s="20"/>
      <c r="AIZ35" s="20"/>
      <c r="AJA35" s="20"/>
      <c r="AJB35" s="20"/>
      <c r="AJC35" s="20"/>
      <c r="AJD35" s="20"/>
      <c r="AJE35" s="20"/>
      <c r="AJF35" s="20"/>
      <c r="AJG35" s="20"/>
      <c r="AJH35" s="20"/>
      <c r="AJI35" s="20"/>
      <c r="AJJ35" s="20"/>
      <c r="AJK35" s="20"/>
      <c r="AJL35" s="20"/>
      <c r="AJM35" s="20"/>
      <c r="AJN35" s="20"/>
      <c r="AJO35" s="20"/>
      <c r="AJP35" s="20"/>
      <c r="AJQ35" s="20"/>
      <c r="AJR35" s="20"/>
      <c r="AJS35" s="20"/>
      <c r="AJT35" s="20"/>
      <c r="AJU35" s="20"/>
      <c r="AJV35" s="20"/>
      <c r="AJW35" s="20"/>
      <c r="AJX35" s="20"/>
      <c r="AJY35" s="20"/>
      <c r="AJZ35" s="20"/>
      <c r="AKA35" s="20"/>
      <c r="AKB35" s="20"/>
      <c r="AKC35" s="20"/>
      <c r="AKD35" s="20"/>
      <c r="AKE35" s="20"/>
      <c r="AKF35" s="20"/>
      <c r="AKG35" s="20"/>
      <c r="AKH35" s="20"/>
      <c r="AKI35" s="20"/>
      <c r="AKJ35" s="20"/>
      <c r="AKK35" s="20"/>
      <c r="AKL35" s="20"/>
      <c r="AKM35" s="20"/>
      <c r="AKN35" s="20"/>
      <c r="AKO35" s="20"/>
      <c r="AKP35" s="20"/>
      <c r="AKQ35" s="20"/>
      <c r="AKR35" s="20"/>
      <c r="AKS35" s="20"/>
      <c r="AKT35" s="20"/>
      <c r="AKU35" s="20"/>
      <c r="AKV35" s="20"/>
      <c r="AKW35" s="20"/>
      <c r="AKX35" s="20"/>
      <c r="AKY35" s="20"/>
      <c r="AKZ35" s="20"/>
      <c r="ALA35" s="20"/>
      <c r="ALB35" s="20"/>
      <c r="ALC35" s="20"/>
      <c r="ALD35" s="20"/>
      <c r="ALE35" s="20"/>
      <c r="ALF35" s="20"/>
      <c r="ALG35" s="20"/>
      <c r="ALH35" s="20"/>
      <c r="ALI35" s="20"/>
      <c r="ALJ35" s="20"/>
      <c r="ALK35" s="20"/>
      <c r="ALL35" s="20"/>
      <c r="ALM35" s="20"/>
      <c r="ALN35" s="20"/>
      <c r="ALO35" s="20"/>
      <c r="ALP35" s="20"/>
      <c r="ALQ35" s="20"/>
      <c r="ALR35" s="20"/>
      <c r="ALS35" s="20"/>
      <c r="ALT35" s="20"/>
      <c r="ALU35" s="20"/>
      <c r="ALV35" s="20"/>
      <c r="ALW35" s="20"/>
      <c r="ALX35" s="20"/>
      <c r="ALY35" s="20"/>
      <c r="ALZ35" s="20"/>
      <c r="AMA35" s="20"/>
      <c r="AMB35" s="20"/>
      <c r="AMC35" s="20"/>
      <c r="AMD35" s="20"/>
      <c r="AME35" s="20"/>
      <c r="AMF35" s="20"/>
      <c r="AMG35" s="20"/>
      <c r="AMH35" s="20"/>
      <c r="AMI35" s="20"/>
      <c r="AMJ35" s="20"/>
      <c r="AMK35" s="20"/>
    </row>
    <row r="36" spans="1:1025" s="21" customFormat="1" ht="12.95" customHeight="1" x14ac:dyDescent="0.25">
      <c r="A36" s="22">
        <v>16</v>
      </c>
      <c r="B36" s="38" t="s">
        <v>264</v>
      </c>
      <c r="C36" s="23">
        <v>150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"/>
        <v>0</v>
      </c>
      <c r="P36" s="25">
        <f t="shared" si="2"/>
        <v>-150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  <c r="ZP36" s="20"/>
      <c r="ZQ36" s="20"/>
      <c r="ZR36" s="20"/>
      <c r="ZS36" s="20"/>
      <c r="ZT36" s="20"/>
      <c r="ZU36" s="20"/>
      <c r="ZV36" s="20"/>
      <c r="ZW36" s="20"/>
      <c r="ZX36" s="20"/>
      <c r="ZY36" s="20"/>
      <c r="ZZ36" s="20"/>
      <c r="AAA36" s="20"/>
      <c r="AAB36" s="20"/>
      <c r="AAC36" s="20"/>
      <c r="AAD36" s="20"/>
      <c r="AAE36" s="20"/>
      <c r="AAF36" s="20"/>
      <c r="AAG36" s="20"/>
      <c r="AAH36" s="20"/>
      <c r="AAI36" s="20"/>
      <c r="AAJ36" s="20"/>
      <c r="AAK36" s="20"/>
      <c r="AAL36" s="20"/>
      <c r="AAM36" s="20"/>
      <c r="AAN36" s="20"/>
      <c r="AAO36" s="20"/>
      <c r="AAP36" s="20"/>
      <c r="AAQ36" s="20"/>
      <c r="AAR36" s="20"/>
      <c r="AAS36" s="20"/>
      <c r="AAT36" s="20"/>
      <c r="AAU36" s="20"/>
      <c r="AAV36" s="20"/>
      <c r="AAW36" s="20"/>
      <c r="AAX36" s="20"/>
      <c r="AAY36" s="20"/>
      <c r="AAZ36" s="20"/>
      <c r="ABA36" s="20"/>
      <c r="ABB36" s="20"/>
      <c r="ABC36" s="20"/>
      <c r="ABD36" s="20"/>
      <c r="ABE36" s="20"/>
      <c r="ABF36" s="20"/>
      <c r="ABG36" s="20"/>
      <c r="ABH36" s="20"/>
      <c r="ABI36" s="20"/>
      <c r="ABJ36" s="20"/>
      <c r="ABK36" s="20"/>
      <c r="ABL36" s="20"/>
      <c r="ABM36" s="20"/>
      <c r="ABN36" s="20"/>
      <c r="ABO36" s="20"/>
      <c r="ABP36" s="20"/>
      <c r="ABQ36" s="20"/>
      <c r="ABR36" s="20"/>
      <c r="ABS36" s="20"/>
      <c r="ABT36" s="20"/>
      <c r="ABU36" s="20"/>
      <c r="ABV36" s="20"/>
      <c r="ABW36" s="20"/>
      <c r="ABX36" s="20"/>
      <c r="ABY36" s="20"/>
      <c r="ABZ36" s="20"/>
      <c r="ACA36" s="20"/>
      <c r="ACB36" s="20"/>
      <c r="ACC36" s="20"/>
      <c r="ACD36" s="20"/>
      <c r="ACE36" s="20"/>
      <c r="ACF36" s="20"/>
      <c r="ACG36" s="20"/>
      <c r="ACH36" s="20"/>
      <c r="ACI36" s="20"/>
      <c r="ACJ36" s="20"/>
      <c r="ACK36" s="20"/>
      <c r="ACL36" s="20"/>
      <c r="ACM36" s="20"/>
      <c r="ACN36" s="20"/>
      <c r="ACO36" s="20"/>
      <c r="ACP36" s="20"/>
      <c r="ACQ36" s="20"/>
      <c r="ACR36" s="20"/>
      <c r="ACS36" s="20"/>
      <c r="ACT36" s="20"/>
      <c r="ACU36" s="20"/>
      <c r="ACV36" s="20"/>
      <c r="ACW36" s="20"/>
      <c r="ACX36" s="20"/>
      <c r="ACY36" s="20"/>
      <c r="ACZ36" s="20"/>
      <c r="ADA36" s="20"/>
      <c r="ADB36" s="20"/>
      <c r="ADC36" s="20"/>
      <c r="ADD36" s="20"/>
      <c r="ADE36" s="20"/>
      <c r="ADF36" s="20"/>
      <c r="ADG36" s="20"/>
      <c r="ADH36" s="20"/>
      <c r="ADI36" s="20"/>
      <c r="ADJ36" s="20"/>
      <c r="ADK36" s="20"/>
      <c r="ADL36" s="20"/>
      <c r="ADM36" s="20"/>
      <c r="ADN36" s="20"/>
      <c r="ADO36" s="20"/>
      <c r="ADP36" s="20"/>
      <c r="ADQ36" s="20"/>
      <c r="ADR36" s="20"/>
      <c r="ADS36" s="20"/>
      <c r="ADT36" s="20"/>
      <c r="ADU36" s="20"/>
      <c r="ADV36" s="20"/>
      <c r="ADW36" s="20"/>
      <c r="ADX36" s="20"/>
      <c r="ADY36" s="20"/>
      <c r="ADZ36" s="20"/>
      <c r="AEA36" s="20"/>
      <c r="AEB36" s="20"/>
      <c r="AEC36" s="20"/>
      <c r="AED36" s="20"/>
      <c r="AEE36" s="20"/>
      <c r="AEF36" s="20"/>
      <c r="AEG36" s="20"/>
      <c r="AEH36" s="20"/>
      <c r="AEI36" s="20"/>
      <c r="AEJ36" s="20"/>
      <c r="AEK36" s="20"/>
      <c r="AEL36" s="20"/>
      <c r="AEM36" s="20"/>
      <c r="AEN36" s="20"/>
      <c r="AEO36" s="20"/>
      <c r="AEP36" s="20"/>
      <c r="AEQ36" s="20"/>
      <c r="AER36" s="20"/>
      <c r="AES36" s="20"/>
      <c r="AET36" s="20"/>
      <c r="AEU36" s="20"/>
      <c r="AEV36" s="20"/>
      <c r="AEW36" s="20"/>
      <c r="AEX36" s="20"/>
      <c r="AEY36" s="20"/>
      <c r="AEZ36" s="20"/>
      <c r="AFA36" s="20"/>
      <c r="AFB36" s="20"/>
      <c r="AFC36" s="20"/>
      <c r="AFD36" s="20"/>
      <c r="AFE36" s="20"/>
      <c r="AFF36" s="20"/>
      <c r="AFG36" s="20"/>
      <c r="AFH36" s="20"/>
      <c r="AFI36" s="20"/>
      <c r="AFJ36" s="20"/>
      <c r="AFK36" s="20"/>
      <c r="AFL36" s="20"/>
      <c r="AFM36" s="20"/>
      <c r="AFN36" s="20"/>
      <c r="AFO36" s="20"/>
      <c r="AFP36" s="20"/>
      <c r="AFQ36" s="20"/>
      <c r="AFR36" s="20"/>
      <c r="AFS36" s="20"/>
      <c r="AFT36" s="20"/>
      <c r="AFU36" s="20"/>
      <c r="AFV36" s="20"/>
      <c r="AFW36" s="20"/>
      <c r="AFX36" s="20"/>
      <c r="AFY36" s="20"/>
      <c r="AFZ36" s="20"/>
      <c r="AGA36" s="20"/>
      <c r="AGB36" s="20"/>
      <c r="AGC36" s="20"/>
      <c r="AGD36" s="20"/>
      <c r="AGE36" s="20"/>
      <c r="AGF36" s="20"/>
      <c r="AGG36" s="20"/>
      <c r="AGH36" s="20"/>
      <c r="AGI36" s="20"/>
      <c r="AGJ36" s="20"/>
      <c r="AGK36" s="20"/>
      <c r="AGL36" s="20"/>
      <c r="AGM36" s="20"/>
      <c r="AGN36" s="20"/>
      <c r="AGO36" s="20"/>
      <c r="AGP36" s="20"/>
      <c r="AGQ36" s="20"/>
      <c r="AGR36" s="20"/>
      <c r="AGS36" s="20"/>
      <c r="AGT36" s="20"/>
      <c r="AGU36" s="20"/>
      <c r="AGV36" s="20"/>
      <c r="AGW36" s="20"/>
      <c r="AGX36" s="20"/>
      <c r="AGY36" s="20"/>
      <c r="AGZ36" s="20"/>
      <c r="AHA36" s="20"/>
      <c r="AHB36" s="20"/>
      <c r="AHC36" s="20"/>
      <c r="AHD36" s="20"/>
      <c r="AHE36" s="20"/>
      <c r="AHF36" s="20"/>
      <c r="AHG36" s="20"/>
      <c r="AHH36" s="20"/>
      <c r="AHI36" s="20"/>
      <c r="AHJ36" s="20"/>
      <c r="AHK36" s="20"/>
      <c r="AHL36" s="20"/>
      <c r="AHM36" s="20"/>
      <c r="AHN36" s="20"/>
      <c r="AHO36" s="20"/>
      <c r="AHP36" s="20"/>
      <c r="AHQ36" s="20"/>
      <c r="AHR36" s="20"/>
      <c r="AHS36" s="20"/>
      <c r="AHT36" s="20"/>
      <c r="AHU36" s="20"/>
      <c r="AHV36" s="20"/>
      <c r="AHW36" s="20"/>
      <c r="AHX36" s="20"/>
      <c r="AHY36" s="20"/>
      <c r="AHZ36" s="20"/>
      <c r="AIA36" s="20"/>
      <c r="AIB36" s="20"/>
      <c r="AIC36" s="20"/>
      <c r="AID36" s="20"/>
      <c r="AIE36" s="20"/>
      <c r="AIF36" s="20"/>
      <c r="AIG36" s="20"/>
      <c r="AIH36" s="20"/>
      <c r="AII36" s="20"/>
      <c r="AIJ36" s="20"/>
      <c r="AIK36" s="20"/>
      <c r="AIL36" s="20"/>
      <c r="AIM36" s="20"/>
      <c r="AIN36" s="20"/>
      <c r="AIO36" s="20"/>
      <c r="AIP36" s="20"/>
      <c r="AIQ36" s="20"/>
      <c r="AIR36" s="20"/>
      <c r="AIS36" s="20"/>
      <c r="AIT36" s="20"/>
      <c r="AIU36" s="20"/>
      <c r="AIV36" s="20"/>
      <c r="AIW36" s="20"/>
      <c r="AIX36" s="20"/>
      <c r="AIY36" s="20"/>
      <c r="AIZ36" s="20"/>
      <c r="AJA36" s="20"/>
      <c r="AJB36" s="20"/>
      <c r="AJC36" s="20"/>
      <c r="AJD36" s="20"/>
      <c r="AJE36" s="20"/>
      <c r="AJF36" s="20"/>
      <c r="AJG36" s="20"/>
      <c r="AJH36" s="20"/>
      <c r="AJI36" s="20"/>
      <c r="AJJ36" s="20"/>
      <c r="AJK36" s="20"/>
      <c r="AJL36" s="20"/>
      <c r="AJM36" s="20"/>
      <c r="AJN36" s="20"/>
      <c r="AJO36" s="20"/>
      <c r="AJP36" s="20"/>
      <c r="AJQ36" s="20"/>
      <c r="AJR36" s="20"/>
      <c r="AJS36" s="20"/>
      <c r="AJT36" s="20"/>
      <c r="AJU36" s="20"/>
      <c r="AJV36" s="20"/>
      <c r="AJW36" s="20"/>
      <c r="AJX36" s="20"/>
      <c r="AJY36" s="20"/>
      <c r="AJZ36" s="20"/>
      <c r="AKA36" s="20"/>
      <c r="AKB36" s="20"/>
      <c r="AKC36" s="20"/>
      <c r="AKD36" s="20"/>
      <c r="AKE36" s="20"/>
      <c r="AKF36" s="20"/>
      <c r="AKG36" s="20"/>
      <c r="AKH36" s="20"/>
      <c r="AKI36" s="20"/>
      <c r="AKJ36" s="20"/>
      <c r="AKK36" s="20"/>
      <c r="AKL36" s="20"/>
      <c r="AKM36" s="20"/>
      <c r="AKN36" s="20"/>
      <c r="AKO36" s="20"/>
      <c r="AKP36" s="20"/>
      <c r="AKQ36" s="20"/>
      <c r="AKR36" s="20"/>
      <c r="AKS36" s="20"/>
      <c r="AKT36" s="20"/>
      <c r="AKU36" s="20"/>
      <c r="AKV36" s="20"/>
      <c r="AKW36" s="20"/>
      <c r="AKX36" s="20"/>
      <c r="AKY36" s="20"/>
      <c r="AKZ36" s="20"/>
      <c r="ALA36" s="20"/>
      <c r="ALB36" s="20"/>
      <c r="ALC36" s="20"/>
      <c r="ALD36" s="20"/>
      <c r="ALE36" s="20"/>
      <c r="ALF36" s="20"/>
      <c r="ALG36" s="20"/>
      <c r="ALH36" s="20"/>
      <c r="ALI36" s="20"/>
      <c r="ALJ36" s="20"/>
      <c r="ALK36" s="20"/>
      <c r="ALL36" s="20"/>
      <c r="ALM36" s="20"/>
      <c r="ALN36" s="20"/>
      <c r="ALO36" s="20"/>
      <c r="ALP36" s="20"/>
      <c r="ALQ36" s="20"/>
      <c r="ALR36" s="20"/>
      <c r="ALS36" s="20"/>
      <c r="ALT36" s="20"/>
      <c r="ALU36" s="20"/>
      <c r="ALV36" s="20"/>
      <c r="ALW36" s="20"/>
      <c r="ALX36" s="20"/>
      <c r="ALY36" s="20"/>
      <c r="ALZ36" s="20"/>
      <c r="AMA36" s="20"/>
      <c r="AMB36" s="20"/>
      <c r="AMC36" s="20"/>
      <c r="AMD36" s="20"/>
      <c r="AME36" s="20"/>
      <c r="AMF36" s="20"/>
      <c r="AMG36" s="20"/>
      <c r="AMH36" s="20"/>
      <c r="AMI36" s="20"/>
      <c r="AMJ36" s="20"/>
      <c r="AMK36" s="20"/>
    </row>
    <row r="37" spans="1:1025" s="21" customFormat="1" ht="12.95" customHeight="1" x14ac:dyDescent="0.25">
      <c r="A37" s="26"/>
      <c r="B37" s="39" t="s">
        <v>264</v>
      </c>
      <c r="C37" s="27">
        <v>150</v>
      </c>
      <c r="D37" s="28">
        <v>0</v>
      </c>
      <c r="E37" s="28">
        <v>0</v>
      </c>
      <c r="F37" s="28">
        <v>200</v>
      </c>
      <c r="G37" s="28">
        <v>0</v>
      </c>
      <c r="H37" s="28">
        <v>200</v>
      </c>
      <c r="I37" s="28">
        <v>0</v>
      </c>
      <c r="J37" s="28">
        <v>0</v>
      </c>
      <c r="K37" s="28">
        <v>0</v>
      </c>
      <c r="L37" s="28">
        <v>200</v>
      </c>
      <c r="M37" s="28">
        <v>0</v>
      </c>
      <c r="N37" s="28">
        <v>600</v>
      </c>
      <c r="O37" s="28">
        <v>60</v>
      </c>
      <c r="P37" s="29">
        <f>O37-C37</f>
        <v>-90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  <c r="ZP37" s="20"/>
      <c r="ZQ37" s="20"/>
      <c r="ZR37" s="20"/>
      <c r="ZS37" s="20"/>
      <c r="ZT37" s="20"/>
      <c r="ZU37" s="20"/>
      <c r="ZV37" s="20"/>
      <c r="ZW37" s="20"/>
      <c r="ZX37" s="20"/>
      <c r="ZY37" s="20"/>
      <c r="ZZ37" s="20"/>
      <c r="AAA37" s="20"/>
      <c r="AAB37" s="20"/>
      <c r="AAC37" s="20"/>
      <c r="AAD37" s="20"/>
      <c r="AAE37" s="20"/>
      <c r="AAF37" s="20"/>
      <c r="AAG37" s="20"/>
      <c r="AAH37" s="20"/>
      <c r="AAI37" s="20"/>
      <c r="AAJ37" s="20"/>
      <c r="AAK37" s="20"/>
      <c r="AAL37" s="20"/>
      <c r="AAM37" s="20"/>
      <c r="AAN37" s="20"/>
      <c r="AAO37" s="20"/>
      <c r="AAP37" s="20"/>
      <c r="AAQ37" s="20"/>
      <c r="AAR37" s="20"/>
      <c r="AAS37" s="20"/>
      <c r="AAT37" s="20"/>
      <c r="AAU37" s="20"/>
      <c r="AAV37" s="20"/>
      <c r="AAW37" s="20"/>
      <c r="AAX37" s="20"/>
      <c r="AAY37" s="20"/>
      <c r="AAZ37" s="20"/>
      <c r="ABA37" s="20"/>
      <c r="ABB37" s="20"/>
      <c r="ABC37" s="20"/>
      <c r="ABD37" s="20"/>
      <c r="ABE37" s="20"/>
      <c r="ABF37" s="20"/>
      <c r="ABG37" s="20"/>
      <c r="ABH37" s="20"/>
      <c r="ABI37" s="20"/>
      <c r="ABJ37" s="20"/>
      <c r="ABK37" s="20"/>
      <c r="ABL37" s="20"/>
      <c r="ABM37" s="20"/>
      <c r="ABN37" s="20"/>
      <c r="ABO37" s="20"/>
      <c r="ABP37" s="20"/>
      <c r="ABQ37" s="20"/>
      <c r="ABR37" s="20"/>
      <c r="ABS37" s="20"/>
      <c r="ABT37" s="20"/>
      <c r="ABU37" s="20"/>
      <c r="ABV37" s="20"/>
      <c r="ABW37" s="20"/>
      <c r="ABX37" s="20"/>
      <c r="ABY37" s="20"/>
      <c r="ABZ37" s="20"/>
      <c r="ACA37" s="20"/>
      <c r="ACB37" s="20"/>
      <c r="ACC37" s="20"/>
      <c r="ACD37" s="20"/>
      <c r="ACE37" s="20"/>
      <c r="ACF37" s="20"/>
      <c r="ACG37" s="20"/>
      <c r="ACH37" s="20"/>
      <c r="ACI37" s="20"/>
      <c r="ACJ37" s="20"/>
      <c r="ACK37" s="20"/>
      <c r="ACL37" s="20"/>
      <c r="ACM37" s="20"/>
      <c r="ACN37" s="20"/>
      <c r="ACO37" s="20"/>
      <c r="ACP37" s="20"/>
      <c r="ACQ37" s="20"/>
      <c r="ACR37" s="20"/>
      <c r="ACS37" s="20"/>
      <c r="ACT37" s="20"/>
      <c r="ACU37" s="20"/>
      <c r="ACV37" s="20"/>
      <c r="ACW37" s="20"/>
      <c r="ACX37" s="20"/>
      <c r="ACY37" s="20"/>
      <c r="ACZ37" s="20"/>
      <c r="ADA37" s="20"/>
      <c r="ADB37" s="20"/>
      <c r="ADC37" s="20"/>
      <c r="ADD37" s="20"/>
      <c r="ADE37" s="20"/>
      <c r="ADF37" s="20"/>
      <c r="ADG37" s="20"/>
      <c r="ADH37" s="20"/>
      <c r="ADI37" s="20"/>
      <c r="ADJ37" s="20"/>
      <c r="ADK37" s="20"/>
      <c r="ADL37" s="20"/>
      <c r="ADM37" s="20"/>
      <c r="ADN37" s="20"/>
      <c r="ADO37" s="20"/>
      <c r="ADP37" s="20"/>
      <c r="ADQ37" s="20"/>
      <c r="ADR37" s="20"/>
      <c r="ADS37" s="20"/>
      <c r="ADT37" s="20"/>
      <c r="ADU37" s="20"/>
      <c r="ADV37" s="20"/>
      <c r="ADW37" s="20"/>
      <c r="ADX37" s="20"/>
      <c r="ADY37" s="20"/>
      <c r="ADZ37" s="20"/>
      <c r="AEA37" s="20"/>
      <c r="AEB37" s="20"/>
      <c r="AEC37" s="20"/>
      <c r="AED37" s="20"/>
      <c r="AEE37" s="20"/>
      <c r="AEF37" s="20"/>
      <c r="AEG37" s="20"/>
      <c r="AEH37" s="20"/>
      <c r="AEI37" s="20"/>
      <c r="AEJ37" s="20"/>
      <c r="AEK37" s="20"/>
      <c r="AEL37" s="20"/>
      <c r="AEM37" s="20"/>
      <c r="AEN37" s="20"/>
      <c r="AEO37" s="20"/>
      <c r="AEP37" s="20"/>
      <c r="AEQ37" s="20"/>
      <c r="AER37" s="20"/>
      <c r="AES37" s="20"/>
      <c r="AET37" s="20"/>
      <c r="AEU37" s="20"/>
      <c r="AEV37" s="20"/>
      <c r="AEW37" s="20"/>
      <c r="AEX37" s="20"/>
      <c r="AEY37" s="20"/>
      <c r="AEZ37" s="20"/>
      <c r="AFA37" s="20"/>
      <c r="AFB37" s="20"/>
      <c r="AFC37" s="20"/>
      <c r="AFD37" s="20"/>
      <c r="AFE37" s="20"/>
      <c r="AFF37" s="20"/>
      <c r="AFG37" s="20"/>
      <c r="AFH37" s="20"/>
      <c r="AFI37" s="20"/>
      <c r="AFJ37" s="20"/>
      <c r="AFK37" s="20"/>
      <c r="AFL37" s="20"/>
      <c r="AFM37" s="20"/>
      <c r="AFN37" s="20"/>
      <c r="AFO37" s="20"/>
      <c r="AFP37" s="20"/>
      <c r="AFQ37" s="20"/>
      <c r="AFR37" s="20"/>
      <c r="AFS37" s="20"/>
      <c r="AFT37" s="20"/>
      <c r="AFU37" s="20"/>
      <c r="AFV37" s="20"/>
      <c r="AFW37" s="20"/>
      <c r="AFX37" s="20"/>
      <c r="AFY37" s="20"/>
      <c r="AFZ37" s="20"/>
      <c r="AGA37" s="20"/>
      <c r="AGB37" s="20"/>
      <c r="AGC37" s="20"/>
      <c r="AGD37" s="20"/>
      <c r="AGE37" s="20"/>
      <c r="AGF37" s="20"/>
      <c r="AGG37" s="20"/>
      <c r="AGH37" s="20"/>
      <c r="AGI37" s="20"/>
      <c r="AGJ37" s="20"/>
      <c r="AGK37" s="20"/>
      <c r="AGL37" s="20"/>
      <c r="AGM37" s="20"/>
      <c r="AGN37" s="20"/>
      <c r="AGO37" s="20"/>
      <c r="AGP37" s="20"/>
      <c r="AGQ37" s="20"/>
      <c r="AGR37" s="20"/>
      <c r="AGS37" s="20"/>
      <c r="AGT37" s="20"/>
      <c r="AGU37" s="20"/>
      <c r="AGV37" s="20"/>
      <c r="AGW37" s="20"/>
      <c r="AGX37" s="20"/>
      <c r="AGY37" s="20"/>
      <c r="AGZ37" s="20"/>
      <c r="AHA37" s="20"/>
      <c r="AHB37" s="20"/>
      <c r="AHC37" s="20"/>
      <c r="AHD37" s="20"/>
      <c r="AHE37" s="20"/>
      <c r="AHF37" s="20"/>
      <c r="AHG37" s="20"/>
      <c r="AHH37" s="20"/>
      <c r="AHI37" s="20"/>
      <c r="AHJ37" s="20"/>
      <c r="AHK37" s="20"/>
      <c r="AHL37" s="20"/>
      <c r="AHM37" s="20"/>
      <c r="AHN37" s="20"/>
      <c r="AHO37" s="20"/>
      <c r="AHP37" s="20"/>
      <c r="AHQ37" s="20"/>
      <c r="AHR37" s="20"/>
      <c r="AHS37" s="20"/>
      <c r="AHT37" s="20"/>
      <c r="AHU37" s="20"/>
      <c r="AHV37" s="20"/>
      <c r="AHW37" s="20"/>
      <c r="AHX37" s="20"/>
      <c r="AHY37" s="20"/>
      <c r="AHZ37" s="20"/>
      <c r="AIA37" s="20"/>
      <c r="AIB37" s="20"/>
      <c r="AIC37" s="20"/>
      <c r="AID37" s="20"/>
      <c r="AIE37" s="20"/>
      <c r="AIF37" s="20"/>
      <c r="AIG37" s="20"/>
      <c r="AIH37" s="20"/>
      <c r="AII37" s="20"/>
      <c r="AIJ37" s="20"/>
      <c r="AIK37" s="20"/>
      <c r="AIL37" s="20"/>
      <c r="AIM37" s="20"/>
      <c r="AIN37" s="20"/>
      <c r="AIO37" s="20"/>
      <c r="AIP37" s="20"/>
      <c r="AIQ37" s="20"/>
      <c r="AIR37" s="20"/>
      <c r="AIS37" s="20"/>
      <c r="AIT37" s="20"/>
      <c r="AIU37" s="20"/>
      <c r="AIV37" s="20"/>
      <c r="AIW37" s="20"/>
      <c r="AIX37" s="20"/>
      <c r="AIY37" s="20"/>
      <c r="AIZ37" s="20"/>
      <c r="AJA37" s="20"/>
      <c r="AJB37" s="20"/>
      <c r="AJC37" s="20"/>
      <c r="AJD37" s="20"/>
      <c r="AJE37" s="20"/>
      <c r="AJF37" s="20"/>
      <c r="AJG37" s="20"/>
      <c r="AJH37" s="20"/>
      <c r="AJI37" s="20"/>
      <c r="AJJ37" s="20"/>
      <c r="AJK37" s="20"/>
      <c r="AJL37" s="20"/>
      <c r="AJM37" s="20"/>
      <c r="AJN37" s="20"/>
      <c r="AJO37" s="20"/>
      <c r="AJP37" s="20"/>
      <c r="AJQ37" s="20"/>
      <c r="AJR37" s="20"/>
      <c r="AJS37" s="20"/>
      <c r="AJT37" s="20"/>
      <c r="AJU37" s="20"/>
      <c r="AJV37" s="20"/>
      <c r="AJW37" s="20"/>
      <c r="AJX37" s="20"/>
      <c r="AJY37" s="20"/>
      <c r="AJZ37" s="20"/>
      <c r="AKA37" s="20"/>
      <c r="AKB37" s="20"/>
      <c r="AKC37" s="20"/>
      <c r="AKD37" s="20"/>
      <c r="AKE37" s="20"/>
      <c r="AKF37" s="20"/>
      <c r="AKG37" s="20"/>
      <c r="AKH37" s="20"/>
      <c r="AKI37" s="20"/>
      <c r="AKJ37" s="20"/>
      <c r="AKK37" s="20"/>
      <c r="AKL37" s="20"/>
      <c r="AKM37" s="20"/>
      <c r="AKN37" s="20"/>
      <c r="AKO37" s="20"/>
      <c r="AKP37" s="20"/>
      <c r="AKQ37" s="20"/>
      <c r="AKR37" s="20"/>
      <c r="AKS37" s="20"/>
      <c r="AKT37" s="20"/>
      <c r="AKU37" s="20"/>
      <c r="AKV37" s="20"/>
      <c r="AKW37" s="20"/>
      <c r="AKX37" s="20"/>
      <c r="AKY37" s="20"/>
      <c r="AKZ37" s="20"/>
      <c r="ALA37" s="20"/>
      <c r="ALB37" s="20"/>
      <c r="ALC37" s="20"/>
      <c r="ALD37" s="20"/>
      <c r="ALE37" s="20"/>
      <c r="ALF37" s="20"/>
      <c r="ALG37" s="20"/>
      <c r="ALH37" s="20"/>
      <c r="ALI37" s="20"/>
      <c r="ALJ37" s="20"/>
      <c r="ALK37" s="20"/>
      <c r="ALL37" s="20"/>
      <c r="ALM37" s="20"/>
      <c r="ALN37" s="20"/>
      <c r="ALO37" s="20"/>
      <c r="ALP37" s="20"/>
      <c r="ALQ37" s="20"/>
      <c r="ALR37" s="20"/>
      <c r="ALS37" s="20"/>
      <c r="ALT37" s="20"/>
      <c r="ALU37" s="20"/>
      <c r="ALV37" s="20"/>
      <c r="ALW37" s="20"/>
      <c r="ALX37" s="20"/>
      <c r="ALY37" s="20"/>
      <c r="ALZ37" s="20"/>
      <c r="AMA37" s="20"/>
      <c r="AMB37" s="20"/>
      <c r="AMC37" s="20"/>
      <c r="AMD37" s="20"/>
      <c r="AME37" s="20"/>
      <c r="AMF37" s="20"/>
      <c r="AMG37" s="20"/>
      <c r="AMH37" s="20"/>
      <c r="AMI37" s="20"/>
      <c r="AMJ37" s="20"/>
      <c r="AMK37" s="20"/>
    </row>
    <row r="38" spans="1:1025" s="21" customFormat="1" ht="12.95" customHeight="1" x14ac:dyDescent="0.25">
      <c r="A38" s="22">
        <v>17</v>
      </c>
      <c r="B38" s="38" t="s">
        <v>233</v>
      </c>
      <c r="C38" s="23">
        <v>50</v>
      </c>
      <c r="D38" s="24">
        <v>0</v>
      </c>
      <c r="E38" s="24">
        <v>0</v>
      </c>
      <c r="F38" s="24">
        <v>140</v>
      </c>
      <c r="G38" s="24">
        <v>0</v>
      </c>
      <c r="H38" s="24">
        <v>0</v>
      </c>
      <c r="I38" s="24">
        <v>0</v>
      </c>
      <c r="J38" s="24">
        <v>0</v>
      </c>
      <c r="K38" s="24">
        <v>140</v>
      </c>
      <c r="L38" s="24">
        <v>0</v>
      </c>
      <c r="M38" s="24">
        <v>0</v>
      </c>
      <c r="N38" s="24">
        <f t="shared" ref="N38:N50" si="3">SUM(D38:M38)</f>
        <v>280</v>
      </c>
      <c r="O38" s="24">
        <f t="shared" si="1"/>
        <v>28</v>
      </c>
      <c r="P38" s="25">
        <f t="shared" si="2"/>
        <v>-22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  <c r="ZP38" s="20"/>
      <c r="ZQ38" s="20"/>
      <c r="ZR38" s="20"/>
      <c r="ZS38" s="20"/>
      <c r="ZT38" s="20"/>
      <c r="ZU38" s="20"/>
      <c r="ZV38" s="20"/>
      <c r="ZW38" s="20"/>
      <c r="ZX38" s="20"/>
      <c r="ZY38" s="20"/>
      <c r="ZZ38" s="20"/>
      <c r="AAA38" s="20"/>
      <c r="AAB38" s="20"/>
      <c r="AAC38" s="20"/>
      <c r="AAD38" s="20"/>
      <c r="AAE38" s="20"/>
      <c r="AAF38" s="20"/>
      <c r="AAG38" s="20"/>
      <c r="AAH38" s="20"/>
      <c r="AAI38" s="20"/>
      <c r="AAJ38" s="20"/>
      <c r="AAK38" s="20"/>
      <c r="AAL38" s="20"/>
      <c r="AAM38" s="20"/>
      <c r="AAN38" s="20"/>
      <c r="AAO38" s="20"/>
      <c r="AAP38" s="20"/>
      <c r="AAQ38" s="20"/>
      <c r="AAR38" s="20"/>
      <c r="AAS38" s="20"/>
      <c r="AAT38" s="20"/>
      <c r="AAU38" s="20"/>
      <c r="AAV38" s="20"/>
      <c r="AAW38" s="20"/>
      <c r="AAX38" s="20"/>
      <c r="AAY38" s="20"/>
      <c r="AAZ38" s="20"/>
      <c r="ABA38" s="20"/>
      <c r="ABB38" s="20"/>
      <c r="ABC38" s="20"/>
      <c r="ABD38" s="20"/>
      <c r="ABE38" s="20"/>
      <c r="ABF38" s="20"/>
      <c r="ABG38" s="20"/>
      <c r="ABH38" s="20"/>
      <c r="ABI38" s="20"/>
      <c r="ABJ38" s="20"/>
      <c r="ABK38" s="20"/>
      <c r="ABL38" s="20"/>
      <c r="ABM38" s="20"/>
      <c r="ABN38" s="20"/>
      <c r="ABO38" s="20"/>
      <c r="ABP38" s="20"/>
      <c r="ABQ38" s="20"/>
      <c r="ABR38" s="20"/>
      <c r="ABS38" s="20"/>
      <c r="ABT38" s="20"/>
      <c r="ABU38" s="20"/>
      <c r="ABV38" s="20"/>
      <c r="ABW38" s="20"/>
      <c r="ABX38" s="20"/>
      <c r="ABY38" s="20"/>
      <c r="ABZ38" s="20"/>
      <c r="ACA38" s="20"/>
      <c r="ACB38" s="20"/>
      <c r="ACC38" s="20"/>
      <c r="ACD38" s="20"/>
      <c r="ACE38" s="20"/>
      <c r="ACF38" s="20"/>
      <c r="ACG38" s="20"/>
      <c r="ACH38" s="20"/>
      <c r="ACI38" s="20"/>
      <c r="ACJ38" s="20"/>
      <c r="ACK38" s="20"/>
      <c r="ACL38" s="20"/>
      <c r="ACM38" s="20"/>
      <c r="ACN38" s="20"/>
      <c r="ACO38" s="20"/>
      <c r="ACP38" s="20"/>
      <c r="ACQ38" s="20"/>
      <c r="ACR38" s="20"/>
      <c r="ACS38" s="20"/>
      <c r="ACT38" s="20"/>
      <c r="ACU38" s="20"/>
      <c r="ACV38" s="20"/>
      <c r="ACW38" s="20"/>
      <c r="ACX38" s="20"/>
      <c r="ACY38" s="20"/>
      <c r="ACZ38" s="20"/>
      <c r="ADA38" s="20"/>
      <c r="ADB38" s="20"/>
      <c r="ADC38" s="20"/>
      <c r="ADD38" s="20"/>
      <c r="ADE38" s="20"/>
      <c r="ADF38" s="20"/>
      <c r="ADG38" s="20"/>
      <c r="ADH38" s="20"/>
      <c r="ADI38" s="20"/>
      <c r="ADJ38" s="20"/>
      <c r="ADK38" s="20"/>
      <c r="ADL38" s="20"/>
      <c r="ADM38" s="20"/>
      <c r="ADN38" s="20"/>
      <c r="ADO38" s="20"/>
      <c r="ADP38" s="20"/>
      <c r="ADQ38" s="20"/>
      <c r="ADR38" s="20"/>
      <c r="ADS38" s="20"/>
      <c r="ADT38" s="20"/>
      <c r="ADU38" s="20"/>
      <c r="ADV38" s="20"/>
      <c r="ADW38" s="20"/>
      <c r="ADX38" s="20"/>
      <c r="ADY38" s="20"/>
      <c r="ADZ38" s="20"/>
      <c r="AEA38" s="20"/>
      <c r="AEB38" s="20"/>
      <c r="AEC38" s="20"/>
      <c r="AED38" s="20"/>
      <c r="AEE38" s="20"/>
      <c r="AEF38" s="20"/>
      <c r="AEG38" s="20"/>
      <c r="AEH38" s="20"/>
      <c r="AEI38" s="20"/>
      <c r="AEJ38" s="20"/>
      <c r="AEK38" s="20"/>
      <c r="AEL38" s="20"/>
      <c r="AEM38" s="20"/>
      <c r="AEN38" s="20"/>
      <c r="AEO38" s="20"/>
      <c r="AEP38" s="20"/>
      <c r="AEQ38" s="20"/>
      <c r="AER38" s="20"/>
      <c r="AES38" s="20"/>
      <c r="AET38" s="20"/>
      <c r="AEU38" s="20"/>
      <c r="AEV38" s="20"/>
      <c r="AEW38" s="20"/>
      <c r="AEX38" s="20"/>
      <c r="AEY38" s="20"/>
      <c r="AEZ38" s="20"/>
      <c r="AFA38" s="20"/>
      <c r="AFB38" s="20"/>
      <c r="AFC38" s="20"/>
      <c r="AFD38" s="20"/>
      <c r="AFE38" s="20"/>
      <c r="AFF38" s="20"/>
      <c r="AFG38" s="20"/>
      <c r="AFH38" s="20"/>
      <c r="AFI38" s="20"/>
      <c r="AFJ38" s="20"/>
      <c r="AFK38" s="20"/>
      <c r="AFL38" s="20"/>
      <c r="AFM38" s="20"/>
      <c r="AFN38" s="20"/>
      <c r="AFO38" s="20"/>
      <c r="AFP38" s="20"/>
      <c r="AFQ38" s="20"/>
      <c r="AFR38" s="20"/>
      <c r="AFS38" s="20"/>
      <c r="AFT38" s="20"/>
      <c r="AFU38" s="20"/>
      <c r="AFV38" s="20"/>
      <c r="AFW38" s="20"/>
      <c r="AFX38" s="20"/>
      <c r="AFY38" s="20"/>
      <c r="AFZ38" s="20"/>
      <c r="AGA38" s="20"/>
      <c r="AGB38" s="20"/>
      <c r="AGC38" s="20"/>
      <c r="AGD38" s="20"/>
      <c r="AGE38" s="20"/>
      <c r="AGF38" s="20"/>
      <c r="AGG38" s="20"/>
      <c r="AGH38" s="20"/>
      <c r="AGI38" s="20"/>
      <c r="AGJ38" s="20"/>
      <c r="AGK38" s="20"/>
      <c r="AGL38" s="20"/>
      <c r="AGM38" s="20"/>
      <c r="AGN38" s="20"/>
      <c r="AGO38" s="20"/>
      <c r="AGP38" s="20"/>
      <c r="AGQ38" s="20"/>
      <c r="AGR38" s="20"/>
      <c r="AGS38" s="20"/>
      <c r="AGT38" s="20"/>
      <c r="AGU38" s="20"/>
      <c r="AGV38" s="20"/>
      <c r="AGW38" s="20"/>
      <c r="AGX38" s="20"/>
      <c r="AGY38" s="20"/>
      <c r="AGZ38" s="20"/>
      <c r="AHA38" s="20"/>
      <c r="AHB38" s="20"/>
      <c r="AHC38" s="20"/>
      <c r="AHD38" s="20"/>
      <c r="AHE38" s="20"/>
      <c r="AHF38" s="20"/>
      <c r="AHG38" s="20"/>
      <c r="AHH38" s="20"/>
      <c r="AHI38" s="20"/>
      <c r="AHJ38" s="20"/>
      <c r="AHK38" s="20"/>
      <c r="AHL38" s="20"/>
      <c r="AHM38" s="20"/>
      <c r="AHN38" s="20"/>
      <c r="AHO38" s="20"/>
      <c r="AHP38" s="20"/>
      <c r="AHQ38" s="20"/>
      <c r="AHR38" s="20"/>
      <c r="AHS38" s="20"/>
      <c r="AHT38" s="20"/>
      <c r="AHU38" s="20"/>
      <c r="AHV38" s="20"/>
      <c r="AHW38" s="20"/>
      <c r="AHX38" s="20"/>
      <c r="AHY38" s="20"/>
      <c r="AHZ38" s="20"/>
      <c r="AIA38" s="20"/>
      <c r="AIB38" s="20"/>
      <c r="AIC38" s="20"/>
      <c r="AID38" s="20"/>
      <c r="AIE38" s="20"/>
      <c r="AIF38" s="20"/>
      <c r="AIG38" s="20"/>
      <c r="AIH38" s="20"/>
      <c r="AII38" s="20"/>
      <c r="AIJ38" s="20"/>
      <c r="AIK38" s="20"/>
      <c r="AIL38" s="20"/>
      <c r="AIM38" s="20"/>
      <c r="AIN38" s="20"/>
      <c r="AIO38" s="20"/>
      <c r="AIP38" s="20"/>
      <c r="AIQ38" s="20"/>
      <c r="AIR38" s="20"/>
      <c r="AIS38" s="20"/>
      <c r="AIT38" s="20"/>
      <c r="AIU38" s="20"/>
      <c r="AIV38" s="20"/>
      <c r="AIW38" s="20"/>
      <c r="AIX38" s="20"/>
      <c r="AIY38" s="20"/>
      <c r="AIZ38" s="20"/>
      <c r="AJA38" s="20"/>
      <c r="AJB38" s="20"/>
      <c r="AJC38" s="20"/>
      <c r="AJD38" s="20"/>
      <c r="AJE38" s="20"/>
      <c r="AJF38" s="20"/>
      <c r="AJG38" s="20"/>
      <c r="AJH38" s="20"/>
      <c r="AJI38" s="20"/>
      <c r="AJJ38" s="20"/>
      <c r="AJK38" s="20"/>
      <c r="AJL38" s="20"/>
      <c r="AJM38" s="20"/>
      <c r="AJN38" s="20"/>
      <c r="AJO38" s="20"/>
      <c r="AJP38" s="20"/>
      <c r="AJQ38" s="20"/>
      <c r="AJR38" s="20"/>
      <c r="AJS38" s="20"/>
      <c r="AJT38" s="20"/>
      <c r="AJU38" s="20"/>
      <c r="AJV38" s="20"/>
      <c r="AJW38" s="20"/>
      <c r="AJX38" s="20"/>
      <c r="AJY38" s="20"/>
      <c r="AJZ38" s="20"/>
      <c r="AKA38" s="20"/>
      <c r="AKB38" s="20"/>
      <c r="AKC38" s="20"/>
      <c r="AKD38" s="20"/>
      <c r="AKE38" s="20"/>
      <c r="AKF38" s="20"/>
      <c r="AKG38" s="20"/>
      <c r="AKH38" s="20"/>
      <c r="AKI38" s="20"/>
      <c r="AKJ38" s="20"/>
      <c r="AKK38" s="20"/>
      <c r="AKL38" s="20"/>
      <c r="AKM38" s="20"/>
      <c r="AKN38" s="20"/>
      <c r="AKO38" s="20"/>
      <c r="AKP38" s="20"/>
      <c r="AKQ38" s="20"/>
      <c r="AKR38" s="20"/>
      <c r="AKS38" s="20"/>
      <c r="AKT38" s="20"/>
      <c r="AKU38" s="20"/>
      <c r="AKV38" s="20"/>
      <c r="AKW38" s="20"/>
      <c r="AKX38" s="20"/>
      <c r="AKY38" s="20"/>
      <c r="AKZ38" s="20"/>
      <c r="ALA38" s="20"/>
      <c r="ALB38" s="20"/>
      <c r="ALC38" s="20"/>
      <c r="ALD38" s="20"/>
      <c r="ALE38" s="20"/>
      <c r="ALF38" s="20"/>
      <c r="ALG38" s="20"/>
      <c r="ALH38" s="20"/>
      <c r="ALI38" s="20"/>
      <c r="ALJ38" s="20"/>
      <c r="ALK38" s="20"/>
      <c r="ALL38" s="20"/>
      <c r="ALM38" s="20"/>
      <c r="ALN38" s="20"/>
      <c r="ALO38" s="20"/>
      <c r="ALP38" s="20"/>
      <c r="ALQ38" s="20"/>
      <c r="ALR38" s="20"/>
      <c r="ALS38" s="20"/>
      <c r="ALT38" s="20"/>
      <c r="ALU38" s="20"/>
      <c r="ALV38" s="20"/>
      <c r="ALW38" s="20"/>
      <c r="ALX38" s="20"/>
      <c r="ALY38" s="20"/>
      <c r="ALZ38" s="20"/>
      <c r="AMA38" s="20"/>
      <c r="AMB38" s="20"/>
      <c r="AMC38" s="20"/>
      <c r="AMD38" s="20"/>
      <c r="AME38" s="20"/>
      <c r="AMF38" s="20"/>
      <c r="AMG38" s="20"/>
      <c r="AMH38" s="20"/>
      <c r="AMI38" s="20"/>
      <c r="AMJ38" s="20"/>
      <c r="AMK38" s="20"/>
    </row>
    <row r="39" spans="1:1025" s="21" customFormat="1" ht="12.95" customHeight="1" x14ac:dyDescent="0.25">
      <c r="A39" s="26"/>
      <c r="B39" s="39" t="s">
        <v>233</v>
      </c>
      <c r="C39" s="27">
        <v>50</v>
      </c>
      <c r="D39" s="28">
        <v>0</v>
      </c>
      <c r="E39" s="28">
        <v>0</v>
      </c>
      <c r="F39" s="28">
        <v>0</v>
      </c>
      <c r="G39" s="28">
        <v>0</v>
      </c>
      <c r="H39" s="28">
        <v>135</v>
      </c>
      <c r="I39" s="28">
        <v>0</v>
      </c>
      <c r="J39" s="28">
        <v>30</v>
      </c>
      <c r="K39" s="28">
        <v>0</v>
      </c>
      <c r="L39" s="28">
        <v>0</v>
      </c>
      <c r="M39" s="28">
        <v>0</v>
      </c>
      <c r="N39" s="28">
        <v>165</v>
      </c>
      <c r="O39" s="28">
        <v>16.5</v>
      </c>
      <c r="P39" s="29">
        <f>O39-C39</f>
        <v>-33.5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  <c r="ZH39" s="20"/>
      <c r="ZI39" s="20"/>
      <c r="ZJ39" s="20"/>
      <c r="ZK39" s="20"/>
      <c r="ZL39" s="20"/>
      <c r="ZM39" s="20"/>
      <c r="ZN39" s="20"/>
      <c r="ZO39" s="20"/>
      <c r="ZP39" s="20"/>
      <c r="ZQ39" s="20"/>
      <c r="ZR39" s="20"/>
      <c r="ZS39" s="20"/>
      <c r="ZT39" s="20"/>
      <c r="ZU39" s="20"/>
      <c r="ZV39" s="20"/>
      <c r="ZW39" s="20"/>
      <c r="ZX39" s="20"/>
      <c r="ZY39" s="20"/>
      <c r="ZZ39" s="20"/>
      <c r="AAA39" s="20"/>
      <c r="AAB39" s="20"/>
      <c r="AAC39" s="20"/>
      <c r="AAD39" s="20"/>
      <c r="AAE39" s="20"/>
      <c r="AAF39" s="20"/>
      <c r="AAG39" s="20"/>
      <c r="AAH39" s="20"/>
      <c r="AAI39" s="20"/>
      <c r="AAJ39" s="20"/>
      <c r="AAK39" s="20"/>
      <c r="AAL39" s="20"/>
      <c r="AAM39" s="20"/>
      <c r="AAN39" s="20"/>
      <c r="AAO39" s="20"/>
      <c r="AAP39" s="20"/>
      <c r="AAQ39" s="20"/>
      <c r="AAR39" s="20"/>
      <c r="AAS39" s="20"/>
      <c r="AAT39" s="20"/>
      <c r="AAU39" s="20"/>
      <c r="AAV39" s="20"/>
      <c r="AAW39" s="20"/>
      <c r="AAX39" s="20"/>
      <c r="AAY39" s="20"/>
      <c r="AAZ39" s="20"/>
      <c r="ABA39" s="20"/>
      <c r="ABB39" s="20"/>
      <c r="ABC39" s="20"/>
      <c r="ABD39" s="20"/>
      <c r="ABE39" s="20"/>
      <c r="ABF39" s="20"/>
      <c r="ABG39" s="20"/>
      <c r="ABH39" s="20"/>
      <c r="ABI39" s="20"/>
      <c r="ABJ39" s="20"/>
      <c r="ABK39" s="20"/>
      <c r="ABL39" s="20"/>
      <c r="ABM39" s="20"/>
      <c r="ABN39" s="20"/>
      <c r="ABO39" s="20"/>
      <c r="ABP39" s="20"/>
      <c r="ABQ39" s="20"/>
      <c r="ABR39" s="20"/>
      <c r="ABS39" s="20"/>
      <c r="ABT39" s="20"/>
      <c r="ABU39" s="20"/>
      <c r="ABV39" s="20"/>
      <c r="ABW39" s="20"/>
      <c r="ABX39" s="20"/>
      <c r="ABY39" s="20"/>
      <c r="ABZ39" s="20"/>
      <c r="ACA39" s="20"/>
      <c r="ACB39" s="20"/>
      <c r="ACC39" s="20"/>
      <c r="ACD39" s="20"/>
      <c r="ACE39" s="20"/>
      <c r="ACF39" s="20"/>
      <c r="ACG39" s="20"/>
      <c r="ACH39" s="20"/>
      <c r="ACI39" s="20"/>
      <c r="ACJ39" s="20"/>
      <c r="ACK39" s="20"/>
      <c r="ACL39" s="20"/>
      <c r="ACM39" s="20"/>
      <c r="ACN39" s="20"/>
      <c r="ACO39" s="20"/>
      <c r="ACP39" s="20"/>
      <c r="ACQ39" s="20"/>
      <c r="ACR39" s="20"/>
      <c r="ACS39" s="20"/>
      <c r="ACT39" s="20"/>
      <c r="ACU39" s="20"/>
      <c r="ACV39" s="20"/>
      <c r="ACW39" s="20"/>
      <c r="ACX39" s="20"/>
      <c r="ACY39" s="20"/>
      <c r="ACZ39" s="20"/>
      <c r="ADA39" s="20"/>
      <c r="ADB39" s="20"/>
      <c r="ADC39" s="20"/>
      <c r="ADD39" s="20"/>
      <c r="ADE39" s="20"/>
      <c r="ADF39" s="20"/>
      <c r="ADG39" s="20"/>
      <c r="ADH39" s="20"/>
      <c r="ADI39" s="20"/>
      <c r="ADJ39" s="20"/>
      <c r="ADK39" s="20"/>
      <c r="ADL39" s="20"/>
      <c r="ADM39" s="20"/>
      <c r="ADN39" s="20"/>
      <c r="ADO39" s="20"/>
      <c r="ADP39" s="20"/>
      <c r="ADQ39" s="20"/>
      <c r="ADR39" s="20"/>
      <c r="ADS39" s="20"/>
      <c r="ADT39" s="20"/>
      <c r="ADU39" s="20"/>
      <c r="ADV39" s="20"/>
      <c r="ADW39" s="20"/>
      <c r="ADX39" s="20"/>
      <c r="ADY39" s="20"/>
      <c r="ADZ39" s="20"/>
      <c r="AEA39" s="20"/>
      <c r="AEB39" s="20"/>
      <c r="AEC39" s="20"/>
      <c r="AED39" s="20"/>
      <c r="AEE39" s="20"/>
      <c r="AEF39" s="20"/>
      <c r="AEG39" s="20"/>
      <c r="AEH39" s="20"/>
      <c r="AEI39" s="20"/>
      <c r="AEJ39" s="20"/>
      <c r="AEK39" s="20"/>
      <c r="AEL39" s="20"/>
      <c r="AEM39" s="20"/>
      <c r="AEN39" s="20"/>
      <c r="AEO39" s="20"/>
      <c r="AEP39" s="20"/>
      <c r="AEQ39" s="20"/>
      <c r="AER39" s="20"/>
      <c r="AES39" s="20"/>
      <c r="AET39" s="20"/>
      <c r="AEU39" s="20"/>
      <c r="AEV39" s="20"/>
      <c r="AEW39" s="20"/>
      <c r="AEX39" s="20"/>
      <c r="AEY39" s="20"/>
      <c r="AEZ39" s="20"/>
      <c r="AFA39" s="20"/>
      <c r="AFB39" s="20"/>
      <c r="AFC39" s="20"/>
      <c r="AFD39" s="20"/>
      <c r="AFE39" s="20"/>
      <c r="AFF39" s="20"/>
      <c r="AFG39" s="20"/>
      <c r="AFH39" s="20"/>
      <c r="AFI39" s="20"/>
      <c r="AFJ39" s="20"/>
      <c r="AFK39" s="20"/>
      <c r="AFL39" s="20"/>
      <c r="AFM39" s="20"/>
      <c r="AFN39" s="20"/>
      <c r="AFO39" s="20"/>
      <c r="AFP39" s="20"/>
      <c r="AFQ39" s="20"/>
      <c r="AFR39" s="20"/>
      <c r="AFS39" s="20"/>
      <c r="AFT39" s="20"/>
      <c r="AFU39" s="20"/>
      <c r="AFV39" s="20"/>
      <c r="AFW39" s="20"/>
      <c r="AFX39" s="20"/>
      <c r="AFY39" s="20"/>
      <c r="AFZ39" s="20"/>
      <c r="AGA39" s="20"/>
      <c r="AGB39" s="20"/>
      <c r="AGC39" s="20"/>
      <c r="AGD39" s="20"/>
      <c r="AGE39" s="20"/>
      <c r="AGF39" s="20"/>
      <c r="AGG39" s="20"/>
      <c r="AGH39" s="20"/>
      <c r="AGI39" s="20"/>
      <c r="AGJ39" s="20"/>
      <c r="AGK39" s="20"/>
      <c r="AGL39" s="20"/>
      <c r="AGM39" s="20"/>
      <c r="AGN39" s="20"/>
      <c r="AGO39" s="20"/>
      <c r="AGP39" s="20"/>
      <c r="AGQ39" s="20"/>
      <c r="AGR39" s="20"/>
      <c r="AGS39" s="20"/>
      <c r="AGT39" s="20"/>
      <c r="AGU39" s="20"/>
      <c r="AGV39" s="20"/>
      <c r="AGW39" s="20"/>
      <c r="AGX39" s="20"/>
      <c r="AGY39" s="20"/>
      <c r="AGZ39" s="20"/>
      <c r="AHA39" s="20"/>
      <c r="AHB39" s="20"/>
      <c r="AHC39" s="20"/>
      <c r="AHD39" s="20"/>
      <c r="AHE39" s="20"/>
      <c r="AHF39" s="20"/>
      <c r="AHG39" s="20"/>
      <c r="AHH39" s="20"/>
      <c r="AHI39" s="20"/>
      <c r="AHJ39" s="20"/>
      <c r="AHK39" s="20"/>
      <c r="AHL39" s="20"/>
      <c r="AHM39" s="20"/>
      <c r="AHN39" s="20"/>
      <c r="AHO39" s="20"/>
      <c r="AHP39" s="20"/>
      <c r="AHQ39" s="20"/>
      <c r="AHR39" s="20"/>
      <c r="AHS39" s="20"/>
      <c r="AHT39" s="20"/>
      <c r="AHU39" s="20"/>
      <c r="AHV39" s="20"/>
      <c r="AHW39" s="20"/>
      <c r="AHX39" s="20"/>
      <c r="AHY39" s="20"/>
      <c r="AHZ39" s="20"/>
      <c r="AIA39" s="20"/>
      <c r="AIB39" s="20"/>
      <c r="AIC39" s="20"/>
      <c r="AID39" s="20"/>
      <c r="AIE39" s="20"/>
      <c r="AIF39" s="20"/>
      <c r="AIG39" s="20"/>
      <c r="AIH39" s="20"/>
      <c r="AII39" s="20"/>
      <c r="AIJ39" s="20"/>
      <c r="AIK39" s="20"/>
      <c r="AIL39" s="20"/>
      <c r="AIM39" s="20"/>
      <c r="AIN39" s="20"/>
      <c r="AIO39" s="20"/>
      <c r="AIP39" s="20"/>
      <c r="AIQ39" s="20"/>
      <c r="AIR39" s="20"/>
      <c r="AIS39" s="20"/>
      <c r="AIT39" s="20"/>
      <c r="AIU39" s="20"/>
      <c r="AIV39" s="20"/>
      <c r="AIW39" s="20"/>
      <c r="AIX39" s="20"/>
      <c r="AIY39" s="20"/>
      <c r="AIZ39" s="20"/>
      <c r="AJA39" s="20"/>
      <c r="AJB39" s="20"/>
      <c r="AJC39" s="20"/>
      <c r="AJD39" s="20"/>
      <c r="AJE39" s="20"/>
      <c r="AJF39" s="20"/>
      <c r="AJG39" s="20"/>
      <c r="AJH39" s="20"/>
      <c r="AJI39" s="20"/>
      <c r="AJJ39" s="20"/>
      <c r="AJK39" s="20"/>
      <c r="AJL39" s="20"/>
      <c r="AJM39" s="20"/>
      <c r="AJN39" s="20"/>
      <c r="AJO39" s="20"/>
      <c r="AJP39" s="20"/>
      <c r="AJQ39" s="20"/>
      <c r="AJR39" s="20"/>
      <c r="AJS39" s="20"/>
      <c r="AJT39" s="20"/>
      <c r="AJU39" s="20"/>
      <c r="AJV39" s="20"/>
      <c r="AJW39" s="20"/>
      <c r="AJX39" s="20"/>
      <c r="AJY39" s="20"/>
      <c r="AJZ39" s="20"/>
      <c r="AKA39" s="20"/>
      <c r="AKB39" s="20"/>
      <c r="AKC39" s="20"/>
      <c r="AKD39" s="20"/>
      <c r="AKE39" s="20"/>
      <c r="AKF39" s="20"/>
      <c r="AKG39" s="20"/>
      <c r="AKH39" s="20"/>
      <c r="AKI39" s="20"/>
      <c r="AKJ39" s="20"/>
      <c r="AKK39" s="20"/>
      <c r="AKL39" s="20"/>
      <c r="AKM39" s="20"/>
      <c r="AKN39" s="20"/>
      <c r="AKO39" s="20"/>
      <c r="AKP39" s="20"/>
      <c r="AKQ39" s="20"/>
      <c r="AKR39" s="20"/>
      <c r="AKS39" s="20"/>
      <c r="AKT39" s="20"/>
      <c r="AKU39" s="20"/>
      <c r="AKV39" s="20"/>
      <c r="AKW39" s="20"/>
      <c r="AKX39" s="20"/>
      <c r="AKY39" s="20"/>
      <c r="AKZ39" s="20"/>
      <c r="ALA39" s="20"/>
      <c r="ALB39" s="20"/>
      <c r="ALC39" s="20"/>
      <c r="ALD39" s="20"/>
      <c r="ALE39" s="20"/>
      <c r="ALF39" s="20"/>
      <c r="ALG39" s="20"/>
      <c r="ALH39" s="20"/>
      <c r="ALI39" s="20"/>
      <c r="ALJ39" s="20"/>
      <c r="ALK39" s="20"/>
      <c r="ALL39" s="20"/>
      <c r="ALM39" s="20"/>
      <c r="ALN39" s="20"/>
      <c r="ALO39" s="20"/>
      <c r="ALP39" s="20"/>
      <c r="ALQ39" s="20"/>
      <c r="ALR39" s="20"/>
      <c r="ALS39" s="20"/>
      <c r="ALT39" s="20"/>
      <c r="ALU39" s="20"/>
      <c r="ALV39" s="20"/>
      <c r="ALW39" s="20"/>
      <c r="ALX39" s="20"/>
      <c r="ALY39" s="20"/>
      <c r="ALZ39" s="20"/>
      <c r="AMA39" s="20"/>
      <c r="AMB39" s="20"/>
      <c r="AMC39" s="20"/>
      <c r="AMD39" s="20"/>
      <c r="AME39" s="20"/>
      <c r="AMF39" s="20"/>
      <c r="AMG39" s="20"/>
      <c r="AMH39" s="20"/>
      <c r="AMI39" s="20"/>
      <c r="AMJ39" s="20"/>
      <c r="AMK39" s="20"/>
    </row>
    <row r="40" spans="1:1025" s="21" customFormat="1" ht="12.95" customHeight="1" x14ac:dyDescent="0.25">
      <c r="A40" s="22">
        <v>18</v>
      </c>
      <c r="B40" s="38" t="s">
        <v>263</v>
      </c>
      <c r="C40" s="23">
        <v>9.8000000000000007</v>
      </c>
      <c r="D40" s="24">
        <v>15</v>
      </c>
      <c r="E40" s="24">
        <v>0</v>
      </c>
      <c r="F40" s="24">
        <v>0</v>
      </c>
      <c r="G40" s="24">
        <v>29.6</v>
      </c>
      <c r="H40" s="24">
        <v>20</v>
      </c>
      <c r="I40" s="24">
        <v>4.17</v>
      </c>
      <c r="J40" s="24"/>
      <c r="K40" s="24"/>
      <c r="L40" s="24">
        <v>4.62</v>
      </c>
      <c r="M40" s="24"/>
      <c r="N40" s="24">
        <f t="shared" si="3"/>
        <v>73.39</v>
      </c>
      <c r="O40" s="24">
        <f t="shared" si="1"/>
        <v>7.3390000000000004</v>
      </c>
      <c r="P40" s="25">
        <f t="shared" si="2"/>
        <v>-2.4610000000000003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  <c r="PZ40" s="20"/>
      <c r="QA40" s="20"/>
      <c r="QB40" s="20"/>
      <c r="QC40" s="20"/>
      <c r="QD40" s="20"/>
      <c r="QE40" s="20"/>
      <c r="QF40" s="20"/>
      <c r="QG40" s="20"/>
      <c r="QH40" s="20"/>
      <c r="QI40" s="20"/>
      <c r="QJ40" s="20"/>
      <c r="QK40" s="20"/>
      <c r="QL40" s="20"/>
      <c r="QM40" s="20"/>
      <c r="QN40" s="20"/>
      <c r="QO40" s="20"/>
      <c r="QP40" s="20"/>
      <c r="QQ40" s="20"/>
      <c r="QR40" s="20"/>
      <c r="QS40" s="20"/>
      <c r="QT40" s="20"/>
      <c r="QU40" s="20"/>
      <c r="QV40" s="20"/>
      <c r="QW40" s="20"/>
      <c r="QX40" s="20"/>
      <c r="QY40" s="20"/>
      <c r="QZ40" s="20"/>
      <c r="RA40" s="20"/>
      <c r="RB40" s="20"/>
      <c r="RC40" s="20"/>
      <c r="RD40" s="20"/>
      <c r="RE40" s="20"/>
      <c r="RF40" s="20"/>
      <c r="RG40" s="20"/>
      <c r="RH40" s="20"/>
      <c r="RI40" s="20"/>
      <c r="RJ40" s="20"/>
      <c r="RK40" s="20"/>
      <c r="RL40" s="20"/>
      <c r="RM40" s="20"/>
      <c r="RN40" s="20"/>
      <c r="RO40" s="20"/>
      <c r="RP40" s="20"/>
      <c r="RQ40" s="20"/>
      <c r="RR40" s="20"/>
      <c r="RS40" s="20"/>
      <c r="RT40" s="20"/>
      <c r="RU40" s="20"/>
      <c r="RV40" s="20"/>
      <c r="RW40" s="20"/>
      <c r="RX40" s="20"/>
      <c r="RY40" s="20"/>
      <c r="RZ40" s="20"/>
      <c r="SA40" s="20"/>
      <c r="SB40" s="20"/>
      <c r="SC40" s="20"/>
      <c r="SD40" s="20"/>
      <c r="SE40" s="20"/>
      <c r="SF40" s="20"/>
      <c r="SG40" s="20"/>
      <c r="SH40" s="20"/>
      <c r="SI40" s="20"/>
      <c r="SJ40" s="20"/>
      <c r="SK40" s="20"/>
      <c r="SL40" s="20"/>
      <c r="SM40" s="20"/>
      <c r="SN40" s="20"/>
      <c r="SO40" s="20"/>
      <c r="SP40" s="20"/>
      <c r="SQ40" s="20"/>
      <c r="SR40" s="20"/>
      <c r="SS40" s="20"/>
      <c r="ST40" s="20"/>
      <c r="SU40" s="20"/>
      <c r="SV40" s="20"/>
      <c r="SW40" s="20"/>
      <c r="SX40" s="20"/>
      <c r="SY40" s="20"/>
      <c r="SZ40" s="20"/>
      <c r="TA40" s="20"/>
      <c r="TB40" s="20"/>
      <c r="TC40" s="20"/>
      <c r="TD40" s="20"/>
      <c r="TE40" s="20"/>
      <c r="TF40" s="20"/>
      <c r="TG40" s="20"/>
      <c r="TH40" s="20"/>
      <c r="TI40" s="20"/>
      <c r="TJ40" s="20"/>
      <c r="TK40" s="20"/>
      <c r="TL40" s="20"/>
      <c r="TM40" s="20"/>
      <c r="TN40" s="20"/>
      <c r="TO40" s="20"/>
      <c r="TP40" s="20"/>
      <c r="TQ40" s="20"/>
      <c r="TR40" s="20"/>
      <c r="TS40" s="20"/>
      <c r="TT40" s="20"/>
      <c r="TU40" s="20"/>
      <c r="TV40" s="20"/>
      <c r="TW40" s="20"/>
      <c r="TX40" s="20"/>
      <c r="TY40" s="20"/>
      <c r="TZ40" s="20"/>
      <c r="UA40" s="20"/>
      <c r="UB40" s="20"/>
      <c r="UC40" s="20"/>
      <c r="UD40" s="20"/>
      <c r="UE40" s="20"/>
      <c r="UF40" s="20"/>
      <c r="UG40" s="20"/>
      <c r="UH40" s="20"/>
      <c r="UI40" s="20"/>
      <c r="UJ40" s="20"/>
      <c r="UK40" s="20"/>
      <c r="UL40" s="20"/>
      <c r="UM40" s="20"/>
      <c r="UN40" s="20"/>
      <c r="UO40" s="20"/>
      <c r="UP40" s="20"/>
      <c r="UQ40" s="20"/>
      <c r="UR40" s="20"/>
      <c r="US40" s="20"/>
      <c r="UT40" s="20"/>
      <c r="UU40" s="20"/>
      <c r="UV40" s="20"/>
      <c r="UW40" s="20"/>
      <c r="UX40" s="20"/>
      <c r="UY40" s="20"/>
      <c r="UZ40" s="20"/>
      <c r="VA40" s="20"/>
      <c r="VB40" s="20"/>
      <c r="VC40" s="20"/>
      <c r="VD40" s="20"/>
      <c r="VE40" s="20"/>
      <c r="VF40" s="20"/>
      <c r="VG40" s="20"/>
      <c r="VH40" s="20"/>
      <c r="VI40" s="20"/>
      <c r="VJ40" s="20"/>
      <c r="VK40" s="20"/>
      <c r="VL40" s="20"/>
      <c r="VM40" s="20"/>
      <c r="VN40" s="20"/>
      <c r="VO40" s="20"/>
      <c r="VP40" s="20"/>
      <c r="VQ40" s="20"/>
      <c r="VR40" s="20"/>
      <c r="VS40" s="20"/>
      <c r="VT40" s="20"/>
      <c r="VU40" s="20"/>
      <c r="VV40" s="20"/>
      <c r="VW40" s="20"/>
      <c r="VX40" s="20"/>
      <c r="VY40" s="20"/>
      <c r="VZ40" s="20"/>
      <c r="WA40" s="20"/>
      <c r="WB40" s="20"/>
      <c r="WC40" s="20"/>
      <c r="WD40" s="20"/>
      <c r="WE40" s="20"/>
      <c r="WF40" s="20"/>
      <c r="WG40" s="20"/>
      <c r="WH40" s="20"/>
      <c r="WI40" s="20"/>
      <c r="WJ40" s="20"/>
      <c r="WK40" s="20"/>
      <c r="WL40" s="20"/>
      <c r="WM40" s="20"/>
      <c r="WN40" s="20"/>
      <c r="WO40" s="20"/>
      <c r="WP40" s="20"/>
      <c r="WQ40" s="20"/>
      <c r="WR40" s="20"/>
      <c r="WS40" s="20"/>
      <c r="WT40" s="20"/>
      <c r="WU40" s="20"/>
      <c r="WV40" s="20"/>
      <c r="WW40" s="20"/>
      <c r="WX40" s="20"/>
      <c r="WY40" s="20"/>
      <c r="WZ40" s="20"/>
      <c r="XA40" s="20"/>
      <c r="XB40" s="20"/>
      <c r="XC40" s="20"/>
      <c r="XD40" s="20"/>
      <c r="XE40" s="20"/>
      <c r="XF40" s="20"/>
      <c r="XG40" s="20"/>
      <c r="XH40" s="20"/>
      <c r="XI40" s="20"/>
      <c r="XJ40" s="20"/>
      <c r="XK40" s="20"/>
      <c r="XL40" s="20"/>
      <c r="XM40" s="20"/>
      <c r="XN40" s="20"/>
      <c r="XO40" s="20"/>
      <c r="XP40" s="20"/>
      <c r="XQ40" s="20"/>
      <c r="XR40" s="20"/>
      <c r="XS40" s="20"/>
      <c r="XT40" s="20"/>
      <c r="XU40" s="20"/>
      <c r="XV40" s="20"/>
      <c r="XW40" s="20"/>
      <c r="XX40" s="20"/>
      <c r="XY40" s="20"/>
      <c r="XZ40" s="20"/>
      <c r="YA40" s="20"/>
      <c r="YB40" s="20"/>
      <c r="YC40" s="20"/>
      <c r="YD40" s="20"/>
      <c r="YE40" s="20"/>
      <c r="YF40" s="20"/>
      <c r="YG40" s="20"/>
      <c r="YH40" s="20"/>
      <c r="YI40" s="20"/>
      <c r="YJ40" s="20"/>
      <c r="YK40" s="20"/>
      <c r="YL40" s="20"/>
      <c r="YM40" s="20"/>
      <c r="YN40" s="20"/>
      <c r="YO40" s="20"/>
      <c r="YP40" s="20"/>
      <c r="YQ40" s="20"/>
      <c r="YR40" s="20"/>
      <c r="YS40" s="20"/>
      <c r="YT40" s="20"/>
      <c r="YU40" s="20"/>
      <c r="YV40" s="20"/>
      <c r="YW40" s="20"/>
      <c r="YX40" s="20"/>
      <c r="YY40" s="20"/>
      <c r="YZ40" s="20"/>
      <c r="ZA40" s="20"/>
      <c r="ZB40" s="20"/>
      <c r="ZC40" s="20"/>
      <c r="ZD40" s="20"/>
      <c r="ZE40" s="20"/>
      <c r="ZF40" s="20"/>
      <c r="ZG40" s="20"/>
      <c r="ZH40" s="20"/>
      <c r="ZI40" s="20"/>
      <c r="ZJ40" s="20"/>
      <c r="ZK40" s="20"/>
      <c r="ZL40" s="20"/>
      <c r="ZM40" s="20"/>
      <c r="ZN40" s="20"/>
      <c r="ZO40" s="20"/>
      <c r="ZP40" s="20"/>
      <c r="ZQ40" s="20"/>
      <c r="ZR40" s="20"/>
      <c r="ZS40" s="20"/>
      <c r="ZT40" s="20"/>
      <c r="ZU40" s="20"/>
      <c r="ZV40" s="20"/>
      <c r="ZW40" s="20"/>
      <c r="ZX40" s="20"/>
      <c r="ZY40" s="20"/>
      <c r="ZZ40" s="20"/>
      <c r="AAA40" s="20"/>
      <c r="AAB40" s="20"/>
      <c r="AAC40" s="20"/>
      <c r="AAD40" s="20"/>
      <c r="AAE40" s="20"/>
      <c r="AAF40" s="20"/>
      <c r="AAG40" s="20"/>
      <c r="AAH40" s="20"/>
      <c r="AAI40" s="20"/>
      <c r="AAJ40" s="20"/>
      <c r="AAK40" s="20"/>
      <c r="AAL40" s="20"/>
      <c r="AAM40" s="20"/>
      <c r="AAN40" s="20"/>
      <c r="AAO40" s="20"/>
      <c r="AAP40" s="20"/>
      <c r="AAQ40" s="20"/>
      <c r="AAR40" s="20"/>
      <c r="AAS40" s="20"/>
      <c r="AAT40" s="20"/>
      <c r="AAU40" s="20"/>
      <c r="AAV40" s="20"/>
      <c r="AAW40" s="20"/>
      <c r="AAX40" s="20"/>
      <c r="AAY40" s="20"/>
      <c r="AAZ40" s="20"/>
      <c r="ABA40" s="20"/>
      <c r="ABB40" s="20"/>
      <c r="ABC40" s="20"/>
      <c r="ABD40" s="20"/>
      <c r="ABE40" s="20"/>
      <c r="ABF40" s="20"/>
      <c r="ABG40" s="20"/>
      <c r="ABH40" s="20"/>
      <c r="ABI40" s="20"/>
      <c r="ABJ40" s="20"/>
      <c r="ABK40" s="20"/>
      <c r="ABL40" s="20"/>
      <c r="ABM40" s="20"/>
      <c r="ABN40" s="20"/>
      <c r="ABO40" s="20"/>
      <c r="ABP40" s="20"/>
      <c r="ABQ40" s="20"/>
      <c r="ABR40" s="20"/>
      <c r="ABS40" s="20"/>
      <c r="ABT40" s="20"/>
      <c r="ABU40" s="20"/>
      <c r="ABV40" s="20"/>
      <c r="ABW40" s="20"/>
      <c r="ABX40" s="20"/>
      <c r="ABY40" s="20"/>
      <c r="ABZ40" s="20"/>
      <c r="ACA40" s="20"/>
      <c r="ACB40" s="20"/>
      <c r="ACC40" s="20"/>
      <c r="ACD40" s="20"/>
      <c r="ACE40" s="20"/>
      <c r="ACF40" s="20"/>
      <c r="ACG40" s="20"/>
      <c r="ACH40" s="20"/>
      <c r="ACI40" s="20"/>
      <c r="ACJ40" s="20"/>
      <c r="ACK40" s="20"/>
      <c r="ACL40" s="20"/>
      <c r="ACM40" s="20"/>
      <c r="ACN40" s="20"/>
      <c r="ACO40" s="20"/>
      <c r="ACP40" s="20"/>
      <c r="ACQ40" s="20"/>
      <c r="ACR40" s="20"/>
      <c r="ACS40" s="20"/>
      <c r="ACT40" s="20"/>
      <c r="ACU40" s="20"/>
      <c r="ACV40" s="20"/>
      <c r="ACW40" s="20"/>
      <c r="ACX40" s="20"/>
      <c r="ACY40" s="20"/>
      <c r="ACZ40" s="20"/>
      <c r="ADA40" s="20"/>
      <c r="ADB40" s="20"/>
      <c r="ADC40" s="20"/>
      <c r="ADD40" s="20"/>
      <c r="ADE40" s="20"/>
      <c r="ADF40" s="20"/>
      <c r="ADG40" s="20"/>
      <c r="ADH40" s="20"/>
      <c r="ADI40" s="20"/>
      <c r="ADJ40" s="20"/>
      <c r="ADK40" s="20"/>
      <c r="ADL40" s="20"/>
      <c r="ADM40" s="20"/>
      <c r="ADN40" s="20"/>
      <c r="ADO40" s="20"/>
      <c r="ADP40" s="20"/>
      <c r="ADQ40" s="20"/>
      <c r="ADR40" s="20"/>
      <c r="ADS40" s="20"/>
      <c r="ADT40" s="20"/>
      <c r="ADU40" s="20"/>
      <c r="ADV40" s="20"/>
      <c r="ADW40" s="20"/>
      <c r="ADX40" s="20"/>
      <c r="ADY40" s="20"/>
      <c r="ADZ40" s="20"/>
      <c r="AEA40" s="20"/>
      <c r="AEB40" s="20"/>
      <c r="AEC40" s="20"/>
      <c r="AED40" s="20"/>
      <c r="AEE40" s="20"/>
      <c r="AEF40" s="20"/>
      <c r="AEG40" s="20"/>
      <c r="AEH40" s="20"/>
      <c r="AEI40" s="20"/>
      <c r="AEJ40" s="20"/>
      <c r="AEK40" s="20"/>
      <c r="AEL40" s="20"/>
      <c r="AEM40" s="20"/>
      <c r="AEN40" s="20"/>
      <c r="AEO40" s="20"/>
      <c r="AEP40" s="20"/>
      <c r="AEQ40" s="20"/>
      <c r="AER40" s="20"/>
      <c r="AES40" s="20"/>
      <c r="AET40" s="20"/>
      <c r="AEU40" s="20"/>
      <c r="AEV40" s="20"/>
      <c r="AEW40" s="20"/>
      <c r="AEX40" s="20"/>
      <c r="AEY40" s="20"/>
      <c r="AEZ40" s="20"/>
      <c r="AFA40" s="20"/>
      <c r="AFB40" s="20"/>
      <c r="AFC40" s="20"/>
      <c r="AFD40" s="20"/>
      <c r="AFE40" s="20"/>
      <c r="AFF40" s="20"/>
      <c r="AFG40" s="20"/>
      <c r="AFH40" s="20"/>
      <c r="AFI40" s="20"/>
      <c r="AFJ40" s="20"/>
      <c r="AFK40" s="20"/>
      <c r="AFL40" s="20"/>
      <c r="AFM40" s="20"/>
      <c r="AFN40" s="20"/>
      <c r="AFO40" s="20"/>
      <c r="AFP40" s="20"/>
      <c r="AFQ40" s="20"/>
      <c r="AFR40" s="20"/>
      <c r="AFS40" s="20"/>
      <c r="AFT40" s="20"/>
      <c r="AFU40" s="20"/>
      <c r="AFV40" s="20"/>
      <c r="AFW40" s="20"/>
      <c r="AFX40" s="20"/>
      <c r="AFY40" s="20"/>
      <c r="AFZ40" s="20"/>
      <c r="AGA40" s="20"/>
      <c r="AGB40" s="20"/>
      <c r="AGC40" s="20"/>
      <c r="AGD40" s="20"/>
      <c r="AGE40" s="20"/>
      <c r="AGF40" s="20"/>
      <c r="AGG40" s="20"/>
      <c r="AGH40" s="20"/>
      <c r="AGI40" s="20"/>
      <c r="AGJ40" s="20"/>
      <c r="AGK40" s="20"/>
      <c r="AGL40" s="20"/>
      <c r="AGM40" s="20"/>
      <c r="AGN40" s="20"/>
      <c r="AGO40" s="20"/>
      <c r="AGP40" s="20"/>
      <c r="AGQ40" s="20"/>
      <c r="AGR40" s="20"/>
      <c r="AGS40" s="20"/>
      <c r="AGT40" s="20"/>
      <c r="AGU40" s="20"/>
      <c r="AGV40" s="20"/>
      <c r="AGW40" s="20"/>
      <c r="AGX40" s="20"/>
      <c r="AGY40" s="20"/>
      <c r="AGZ40" s="20"/>
      <c r="AHA40" s="20"/>
      <c r="AHB40" s="20"/>
      <c r="AHC40" s="20"/>
      <c r="AHD40" s="20"/>
      <c r="AHE40" s="20"/>
      <c r="AHF40" s="20"/>
      <c r="AHG40" s="20"/>
      <c r="AHH40" s="20"/>
      <c r="AHI40" s="20"/>
      <c r="AHJ40" s="20"/>
      <c r="AHK40" s="20"/>
      <c r="AHL40" s="20"/>
      <c r="AHM40" s="20"/>
      <c r="AHN40" s="20"/>
      <c r="AHO40" s="20"/>
      <c r="AHP40" s="20"/>
      <c r="AHQ40" s="20"/>
      <c r="AHR40" s="20"/>
      <c r="AHS40" s="20"/>
      <c r="AHT40" s="20"/>
      <c r="AHU40" s="20"/>
      <c r="AHV40" s="20"/>
      <c r="AHW40" s="20"/>
      <c r="AHX40" s="20"/>
      <c r="AHY40" s="20"/>
      <c r="AHZ40" s="20"/>
      <c r="AIA40" s="20"/>
      <c r="AIB40" s="20"/>
      <c r="AIC40" s="20"/>
      <c r="AID40" s="20"/>
      <c r="AIE40" s="20"/>
      <c r="AIF40" s="20"/>
      <c r="AIG40" s="20"/>
      <c r="AIH40" s="20"/>
      <c r="AII40" s="20"/>
      <c r="AIJ40" s="20"/>
      <c r="AIK40" s="20"/>
      <c r="AIL40" s="20"/>
      <c r="AIM40" s="20"/>
      <c r="AIN40" s="20"/>
      <c r="AIO40" s="20"/>
      <c r="AIP40" s="20"/>
      <c r="AIQ40" s="20"/>
      <c r="AIR40" s="20"/>
      <c r="AIS40" s="20"/>
      <c r="AIT40" s="20"/>
      <c r="AIU40" s="20"/>
      <c r="AIV40" s="20"/>
      <c r="AIW40" s="20"/>
      <c r="AIX40" s="20"/>
      <c r="AIY40" s="20"/>
      <c r="AIZ40" s="20"/>
      <c r="AJA40" s="20"/>
      <c r="AJB40" s="20"/>
      <c r="AJC40" s="20"/>
      <c r="AJD40" s="20"/>
      <c r="AJE40" s="20"/>
      <c r="AJF40" s="20"/>
      <c r="AJG40" s="20"/>
      <c r="AJH40" s="20"/>
      <c r="AJI40" s="20"/>
      <c r="AJJ40" s="20"/>
      <c r="AJK40" s="20"/>
      <c r="AJL40" s="20"/>
      <c r="AJM40" s="20"/>
      <c r="AJN40" s="20"/>
      <c r="AJO40" s="20"/>
      <c r="AJP40" s="20"/>
      <c r="AJQ40" s="20"/>
      <c r="AJR40" s="20"/>
      <c r="AJS40" s="20"/>
      <c r="AJT40" s="20"/>
      <c r="AJU40" s="20"/>
      <c r="AJV40" s="20"/>
      <c r="AJW40" s="20"/>
      <c r="AJX40" s="20"/>
      <c r="AJY40" s="20"/>
      <c r="AJZ40" s="20"/>
      <c r="AKA40" s="20"/>
      <c r="AKB40" s="20"/>
      <c r="AKC40" s="20"/>
      <c r="AKD40" s="20"/>
      <c r="AKE40" s="20"/>
      <c r="AKF40" s="20"/>
      <c r="AKG40" s="20"/>
      <c r="AKH40" s="20"/>
      <c r="AKI40" s="20"/>
      <c r="AKJ40" s="20"/>
      <c r="AKK40" s="20"/>
      <c r="AKL40" s="20"/>
      <c r="AKM40" s="20"/>
      <c r="AKN40" s="20"/>
      <c r="AKO40" s="20"/>
      <c r="AKP40" s="20"/>
      <c r="AKQ40" s="20"/>
      <c r="AKR40" s="20"/>
      <c r="AKS40" s="20"/>
      <c r="AKT40" s="20"/>
      <c r="AKU40" s="20"/>
      <c r="AKV40" s="20"/>
      <c r="AKW40" s="20"/>
      <c r="AKX40" s="20"/>
      <c r="AKY40" s="20"/>
      <c r="AKZ40" s="20"/>
      <c r="ALA40" s="20"/>
      <c r="ALB40" s="20"/>
      <c r="ALC40" s="20"/>
      <c r="ALD40" s="20"/>
      <c r="ALE40" s="20"/>
      <c r="ALF40" s="20"/>
      <c r="ALG40" s="20"/>
      <c r="ALH40" s="20"/>
      <c r="ALI40" s="20"/>
      <c r="ALJ40" s="20"/>
      <c r="ALK40" s="20"/>
      <c r="ALL40" s="20"/>
      <c r="ALM40" s="20"/>
      <c r="ALN40" s="20"/>
      <c r="ALO40" s="20"/>
      <c r="ALP40" s="20"/>
      <c r="ALQ40" s="20"/>
      <c r="ALR40" s="20"/>
      <c r="ALS40" s="20"/>
      <c r="ALT40" s="20"/>
      <c r="ALU40" s="20"/>
      <c r="ALV40" s="20"/>
      <c r="ALW40" s="20"/>
      <c r="ALX40" s="20"/>
      <c r="ALY40" s="20"/>
      <c r="ALZ40" s="20"/>
      <c r="AMA40" s="20"/>
      <c r="AMB40" s="20"/>
      <c r="AMC40" s="20"/>
      <c r="AMD40" s="20"/>
      <c r="AME40" s="20"/>
      <c r="AMF40" s="20"/>
      <c r="AMG40" s="20"/>
      <c r="AMH40" s="20"/>
      <c r="AMI40" s="20"/>
      <c r="AMJ40" s="20"/>
      <c r="AMK40" s="20"/>
    </row>
    <row r="41" spans="1:1025" s="21" customFormat="1" ht="12.95" customHeight="1" x14ac:dyDescent="0.25">
      <c r="A41" s="26"/>
      <c r="B41" s="38" t="s">
        <v>263</v>
      </c>
      <c r="C41" s="23">
        <v>9.8000000000000007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>
        <f>O41-C41</f>
        <v>-9.8000000000000007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0"/>
      <c r="OM41" s="20"/>
      <c r="ON41" s="20"/>
      <c r="OO41" s="20"/>
      <c r="OP41" s="20"/>
      <c r="OQ41" s="20"/>
      <c r="OR41" s="20"/>
      <c r="OS41" s="20"/>
      <c r="OT41" s="20"/>
      <c r="OU41" s="20"/>
      <c r="OV41" s="20"/>
      <c r="OW41" s="20"/>
      <c r="OX41" s="20"/>
      <c r="OY41" s="20"/>
      <c r="OZ41" s="20"/>
      <c r="PA41" s="20"/>
      <c r="PB41" s="20"/>
      <c r="PC41" s="20"/>
      <c r="PD41" s="20"/>
      <c r="PE41" s="20"/>
      <c r="PF41" s="20"/>
      <c r="PG41" s="20"/>
      <c r="PH41" s="20"/>
      <c r="PI41" s="20"/>
      <c r="PJ41" s="20"/>
      <c r="PK41" s="20"/>
      <c r="PL41" s="20"/>
      <c r="PM41" s="20"/>
      <c r="PN41" s="20"/>
      <c r="PO41" s="20"/>
      <c r="PP41" s="20"/>
      <c r="PQ41" s="20"/>
      <c r="PR41" s="20"/>
      <c r="PS41" s="20"/>
      <c r="PT41" s="20"/>
      <c r="PU41" s="20"/>
      <c r="PV41" s="20"/>
      <c r="PW41" s="20"/>
      <c r="PX41" s="20"/>
      <c r="PY41" s="20"/>
      <c r="PZ41" s="20"/>
      <c r="QA41" s="20"/>
      <c r="QB41" s="20"/>
      <c r="QC41" s="20"/>
      <c r="QD41" s="20"/>
      <c r="QE41" s="20"/>
      <c r="QF41" s="20"/>
      <c r="QG41" s="20"/>
      <c r="QH41" s="20"/>
      <c r="QI41" s="20"/>
      <c r="QJ41" s="20"/>
      <c r="QK41" s="20"/>
      <c r="QL41" s="20"/>
      <c r="QM41" s="20"/>
      <c r="QN41" s="20"/>
      <c r="QO41" s="20"/>
      <c r="QP41" s="20"/>
      <c r="QQ41" s="20"/>
      <c r="QR41" s="20"/>
      <c r="QS41" s="20"/>
      <c r="QT41" s="20"/>
      <c r="QU41" s="20"/>
      <c r="QV41" s="20"/>
      <c r="QW41" s="20"/>
      <c r="QX41" s="20"/>
      <c r="QY41" s="20"/>
      <c r="QZ41" s="20"/>
      <c r="RA41" s="20"/>
      <c r="RB41" s="20"/>
      <c r="RC41" s="20"/>
      <c r="RD41" s="20"/>
      <c r="RE41" s="20"/>
      <c r="RF41" s="20"/>
      <c r="RG41" s="20"/>
      <c r="RH41" s="20"/>
      <c r="RI41" s="20"/>
      <c r="RJ41" s="20"/>
      <c r="RK41" s="20"/>
      <c r="RL41" s="20"/>
      <c r="RM41" s="20"/>
      <c r="RN41" s="20"/>
      <c r="RO41" s="20"/>
      <c r="RP41" s="20"/>
      <c r="RQ41" s="20"/>
      <c r="RR41" s="20"/>
      <c r="RS41" s="20"/>
      <c r="RT41" s="20"/>
      <c r="RU41" s="20"/>
      <c r="RV41" s="20"/>
      <c r="RW41" s="20"/>
      <c r="RX41" s="20"/>
      <c r="RY41" s="20"/>
      <c r="RZ41" s="20"/>
      <c r="SA41" s="20"/>
      <c r="SB41" s="20"/>
      <c r="SC41" s="20"/>
      <c r="SD41" s="20"/>
      <c r="SE41" s="20"/>
      <c r="SF41" s="20"/>
      <c r="SG41" s="20"/>
      <c r="SH41" s="20"/>
      <c r="SI41" s="20"/>
      <c r="SJ41" s="20"/>
      <c r="SK41" s="20"/>
      <c r="SL41" s="20"/>
      <c r="SM41" s="20"/>
      <c r="SN41" s="20"/>
      <c r="SO41" s="20"/>
      <c r="SP41" s="20"/>
      <c r="SQ41" s="20"/>
      <c r="SR41" s="20"/>
      <c r="SS41" s="20"/>
      <c r="ST41" s="20"/>
      <c r="SU41" s="20"/>
      <c r="SV41" s="20"/>
      <c r="SW41" s="20"/>
      <c r="SX41" s="20"/>
      <c r="SY41" s="20"/>
      <c r="SZ41" s="20"/>
      <c r="TA41" s="20"/>
      <c r="TB41" s="20"/>
      <c r="TC41" s="20"/>
      <c r="TD41" s="20"/>
      <c r="TE41" s="20"/>
      <c r="TF41" s="20"/>
      <c r="TG41" s="20"/>
      <c r="TH41" s="20"/>
      <c r="TI41" s="20"/>
      <c r="TJ41" s="20"/>
      <c r="TK41" s="20"/>
      <c r="TL41" s="20"/>
      <c r="TM41" s="20"/>
      <c r="TN41" s="20"/>
      <c r="TO41" s="20"/>
      <c r="TP41" s="20"/>
      <c r="TQ41" s="20"/>
      <c r="TR41" s="20"/>
      <c r="TS41" s="20"/>
      <c r="TT41" s="20"/>
      <c r="TU41" s="20"/>
      <c r="TV41" s="20"/>
      <c r="TW41" s="20"/>
      <c r="TX41" s="20"/>
      <c r="TY41" s="20"/>
      <c r="TZ41" s="20"/>
      <c r="UA41" s="20"/>
      <c r="UB41" s="20"/>
      <c r="UC41" s="20"/>
      <c r="UD41" s="20"/>
      <c r="UE41" s="20"/>
      <c r="UF41" s="20"/>
      <c r="UG41" s="20"/>
      <c r="UH41" s="20"/>
      <c r="UI41" s="20"/>
      <c r="UJ41" s="20"/>
      <c r="UK41" s="20"/>
      <c r="UL41" s="20"/>
      <c r="UM41" s="20"/>
      <c r="UN41" s="20"/>
      <c r="UO41" s="20"/>
      <c r="UP41" s="20"/>
      <c r="UQ41" s="20"/>
      <c r="UR41" s="20"/>
      <c r="US41" s="20"/>
      <c r="UT41" s="20"/>
      <c r="UU41" s="20"/>
      <c r="UV41" s="20"/>
      <c r="UW41" s="20"/>
      <c r="UX41" s="20"/>
      <c r="UY41" s="20"/>
      <c r="UZ41" s="20"/>
      <c r="VA41" s="20"/>
      <c r="VB41" s="20"/>
      <c r="VC41" s="20"/>
      <c r="VD41" s="20"/>
      <c r="VE41" s="20"/>
      <c r="VF41" s="20"/>
      <c r="VG41" s="20"/>
      <c r="VH41" s="20"/>
      <c r="VI41" s="20"/>
      <c r="VJ41" s="20"/>
      <c r="VK41" s="20"/>
      <c r="VL41" s="20"/>
      <c r="VM41" s="20"/>
      <c r="VN41" s="20"/>
      <c r="VO41" s="20"/>
      <c r="VP41" s="20"/>
      <c r="VQ41" s="20"/>
      <c r="VR41" s="20"/>
      <c r="VS41" s="20"/>
      <c r="VT41" s="20"/>
      <c r="VU41" s="20"/>
      <c r="VV41" s="20"/>
      <c r="VW41" s="20"/>
      <c r="VX41" s="20"/>
      <c r="VY41" s="20"/>
      <c r="VZ41" s="20"/>
      <c r="WA41" s="20"/>
      <c r="WB41" s="20"/>
      <c r="WC41" s="20"/>
      <c r="WD41" s="20"/>
      <c r="WE41" s="20"/>
      <c r="WF41" s="20"/>
      <c r="WG41" s="20"/>
      <c r="WH41" s="20"/>
      <c r="WI41" s="20"/>
      <c r="WJ41" s="20"/>
      <c r="WK41" s="20"/>
      <c r="WL41" s="20"/>
      <c r="WM41" s="20"/>
      <c r="WN41" s="20"/>
      <c r="WO41" s="20"/>
      <c r="WP41" s="20"/>
      <c r="WQ41" s="20"/>
      <c r="WR41" s="20"/>
      <c r="WS41" s="20"/>
      <c r="WT41" s="20"/>
      <c r="WU41" s="20"/>
      <c r="WV41" s="20"/>
      <c r="WW41" s="20"/>
      <c r="WX41" s="20"/>
      <c r="WY41" s="20"/>
      <c r="WZ41" s="20"/>
      <c r="XA41" s="20"/>
      <c r="XB41" s="20"/>
      <c r="XC41" s="20"/>
      <c r="XD41" s="20"/>
      <c r="XE41" s="20"/>
      <c r="XF41" s="20"/>
      <c r="XG41" s="20"/>
      <c r="XH41" s="20"/>
      <c r="XI41" s="20"/>
      <c r="XJ41" s="20"/>
      <c r="XK41" s="20"/>
      <c r="XL41" s="20"/>
      <c r="XM41" s="20"/>
      <c r="XN41" s="20"/>
      <c r="XO41" s="20"/>
      <c r="XP41" s="20"/>
      <c r="XQ41" s="20"/>
      <c r="XR41" s="20"/>
      <c r="XS41" s="20"/>
      <c r="XT41" s="20"/>
      <c r="XU41" s="20"/>
      <c r="XV41" s="20"/>
      <c r="XW41" s="20"/>
      <c r="XX41" s="20"/>
      <c r="XY41" s="20"/>
      <c r="XZ41" s="20"/>
      <c r="YA41" s="20"/>
      <c r="YB41" s="20"/>
      <c r="YC41" s="20"/>
      <c r="YD41" s="20"/>
      <c r="YE41" s="20"/>
      <c r="YF41" s="20"/>
      <c r="YG41" s="20"/>
      <c r="YH41" s="20"/>
      <c r="YI41" s="20"/>
      <c r="YJ41" s="20"/>
      <c r="YK41" s="20"/>
      <c r="YL41" s="20"/>
      <c r="YM41" s="20"/>
      <c r="YN41" s="20"/>
      <c r="YO41" s="20"/>
      <c r="YP41" s="20"/>
      <c r="YQ41" s="20"/>
      <c r="YR41" s="20"/>
      <c r="YS41" s="20"/>
      <c r="YT41" s="20"/>
      <c r="YU41" s="20"/>
      <c r="YV41" s="20"/>
      <c r="YW41" s="20"/>
      <c r="YX41" s="20"/>
      <c r="YY41" s="20"/>
      <c r="YZ41" s="20"/>
      <c r="ZA41" s="20"/>
      <c r="ZB41" s="20"/>
      <c r="ZC41" s="20"/>
      <c r="ZD41" s="20"/>
      <c r="ZE41" s="20"/>
      <c r="ZF41" s="20"/>
      <c r="ZG41" s="20"/>
      <c r="ZH41" s="20"/>
      <c r="ZI41" s="20"/>
      <c r="ZJ41" s="20"/>
      <c r="ZK41" s="20"/>
      <c r="ZL41" s="20"/>
      <c r="ZM41" s="20"/>
      <c r="ZN41" s="20"/>
      <c r="ZO41" s="20"/>
      <c r="ZP41" s="20"/>
      <c r="ZQ41" s="20"/>
      <c r="ZR41" s="20"/>
      <c r="ZS41" s="20"/>
      <c r="ZT41" s="20"/>
      <c r="ZU41" s="20"/>
      <c r="ZV41" s="20"/>
      <c r="ZW41" s="20"/>
      <c r="ZX41" s="20"/>
      <c r="ZY41" s="20"/>
      <c r="ZZ41" s="20"/>
      <c r="AAA41" s="20"/>
      <c r="AAB41" s="20"/>
      <c r="AAC41" s="20"/>
      <c r="AAD41" s="20"/>
      <c r="AAE41" s="20"/>
      <c r="AAF41" s="20"/>
      <c r="AAG41" s="20"/>
      <c r="AAH41" s="20"/>
      <c r="AAI41" s="20"/>
      <c r="AAJ41" s="20"/>
      <c r="AAK41" s="20"/>
      <c r="AAL41" s="20"/>
      <c r="AAM41" s="20"/>
      <c r="AAN41" s="20"/>
      <c r="AAO41" s="20"/>
      <c r="AAP41" s="20"/>
      <c r="AAQ41" s="20"/>
      <c r="AAR41" s="20"/>
      <c r="AAS41" s="20"/>
      <c r="AAT41" s="20"/>
      <c r="AAU41" s="20"/>
      <c r="AAV41" s="20"/>
      <c r="AAW41" s="20"/>
      <c r="AAX41" s="20"/>
      <c r="AAY41" s="20"/>
      <c r="AAZ41" s="20"/>
      <c r="ABA41" s="20"/>
      <c r="ABB41" s="20"/>
      <c r="ABC41" s="20"/>
      <c r="ABD41" s="20"/>
      <c r="ABE41" s="20"/>
      <c r="ABF41" s="20"/>
      <c r="ABG41" s="20"/>
      <c r="ABH41" s="20"/>
      <c r="ABI41" s="20"/>
      <c r="ABJ41" s="20"/>
      <c r="ABK41" s="20"/>
      <c r="ABL41" s="20"/>
      <c r="ABM41" s="20"/>
      <c r="ABN41" s="20"/>
      <c r="ABO41" s="20"/>
      <c r="ABP41" s="20"/>
      <c r="ABQ41" s="20"/>
      <c r="ABR41" s="20"/>
      <c r="ABS41" s="20"/>
      <c r="ABT41" s="20"/>
      <c r="ABU41" s="20"/>
      <c r="ABV41" s="20"/>
      <c r="ABW41" s="20"/>
      <c r="ABX41" s="20"/>
      <c r="ABY41" s="20"/>
      <c r="ABZ41" s="20"/>
      <c r="ACA41" s="20"/>
      <c r="ACB41" s="20"/>
      <c r="ACC41" s="20"/>
      <c r="ACD41" s="20"/>
      <c r="ACE41" s="20"/>
      <c r="ACF41" s="20"/>
      <c r="ACG41" s="20"/>
      <c r="ACH41" s="20"/>
      <c r="ACI41" s="20"/>
      <c r="ACJ41" s="20"/>
      <c r="ACK41" s="20"/>
      <c r="ACL41" s="20"/>
      <c r="ACM41" s="20"/>
      <c r="ACN41" s="20"/>
      <c r="ACO41" s="20"/>
      <c r="ACP41" s="20"/>
      <c r="ACQ41" s="20"/>
      <c r="ACR41" s="20"/>
      <c r="ACS41" s="20"/>
      <c r="ACT41" s="20"/>
      <c r="ACU41" s="20"/>
      <c r="ACV41" s="20"/>
      <c r="ACW41" s="20"/>
      <c r="ACX41" s="20"/>
      <c r="ACY41" s="20"/>
      <c r="ACZ41" s="20"/>
      <c r="ADA41" s="20"/>
      <c r="ADB41" s="20"/>
      <c r="ADC41" s="20"/>
      <c r="ADD41" s="20"/>
      <c r="ADE41" s="20"/>
      <c r="ADF41" s="20"/>
      <c r="ADG41" s="20"/>
      <c r="ADH41" s="20"/>
      <c r="ADI41" s="20"/>
      <c r="ADJ41" s="20"/>
      <c r="ADK41" s="20"/>
      <c r="ADL41" s="20"/>
      <c r="ADM41" s="20"/>
      <c r="ADN41" s="20"/>
      <c r="ADO41" s="20"/>
      <c r="ADP41" s="20"/>
      <c r="ADQ41" s="20"/>
      <c r="ADR41" s="20"/>
      <c r="ADS41" s="20"/>
      <c r="ADT41" s="20"/>
      <c r="ADU41" s="20"/>
      <c r="ADV41" s="20"/>
      <c r="ADW41" s="20"/>
      <c r="ADX41" s="20"/>
      <c r="ADY41" s="20"/>
      <c r="ADZ41" s="20"/>
      <c r="AEA41" s="20"/>
      <c r="AEB41" s="20"/>
      <c r="AEC41" s="20"/>
      <c r="AED41" s="20"/>
      <c r="AEE41" s="20"/>
      <c r="AEF41" s="20"/>
      <c r="AEG41" s="20"/>
      <c r="AEH41" s="20"/>
      <c r="AEI41" s="20"/>
      <c r="AEJ41" s="20"/>
      <c r="AEK41" s="20"/>
      <c r="AEL41" s="20"/>
      <c r="AEM41" s="20"/>
      <c r="AEN41" s="20"/>
      <c r="AEO41" s="20"/>
      <c r="AEP41" s="20"/>
      <c r="AEQ41" s="20"/>
      <c r="AER41" s="20"/>
      <c r="AES41" s="20"/>
      <c r="AET41" s="20"/>
      <c r="AEU41" s="20"/>
      <c r="AEV41" s="20"/>
      <c r="AEW41" s="20"/>
      <c r="AEX41" s="20"/>
      <c r="AEY41" s="20"/>
      <c r="AEZ41" s="20"/>
      <c r="AFA41" s="20"/>
      <c r="AFB41" s="20"/>
      <c r="AFC41" s="20"/>
      <c r="AFD41" s="20"/>
      <c r="AFE41" s="20"/>
      <c r="AFF41" s="20"/>
      <c r="AFG41" s="20"/>
      <c r="AFH41" s="20"/>
      <c r="AFI41" s="20"/>
      <c r="AFJ41" s="20"/>
      <c r="AFK41" s="20"/>
      <c r="AFL41" s="20"/>
      <c r="AFM41" s="20"/>
      <c r="AFN41" s="20"/>
      <c r="AFO41" s="20"/>
      <c r="AFP41" s="20"/>
      <c r="AFQ41" s="20"/>
      <c r="AFR41" s="20"/>
      <c r="AFS41" s="20"/>
      <c r="AFT41" s="20"/>
      <c r="AFU41" s="20"/>
      <c r="AFV41" s="20"/>
      <c r="AFW41" s="20"/>
      <c r="AFX41" s="20"/>
      <c r="AFY41" s="20"/>
      <c r="AFZ41" s="20"/>
      <c r="AGA41" s="20"/>
      <c r="AGB41" s="20"/>
      <c r="AGC41" s="20"/>
      <c r="AGD41" s="20"/>
      <c r="AGE41" s="20"/>
      <c r="AGF41" s="20"/>
      <c r="AGG41" s="20"/>
      <c r="AGH41" s="20"/>
      <c r="AGI41" s="20"/>
      <c r="AGJ41" s="20"/>
      <c r="AGK41" s="20"/>
      <c r="AGL41" s="20"/>
      <c r="AGM41" s="20"/>
      <c r="AGN41" s="20"/>
      <c r="AGO41" s="20"/>
      <c r="AGP41" s="20"/>
      <c r="AGQ41" s="20"/>
      <c r="AGR41" s="20"/>
      <c r="AGS41" s="20"/>
      <c r="AGT41" s="20"/>
      <c r="AGU41" s="20"/>
      <c r="AGV41" s="20"/>
      <c r="AGW41" s="20"/>
      <c r="AGX41" s="20"/>
      <c r="AGY41" s="20"/>
      <c r="AGZ41" s="20"/>
      <c r="AHA41" s="20"/>
      <c r="AHB41" s="20"/>
      <c r="AHC41" s="20"/>
      <c r="AHD41" s="20"/>
      <c r="AHE41" s="20"/>
      <c r="AHF41" s="20"/>
      <c r="AHG41" s="20"/>
      <c r="AHH41" s="20"/>
      <c r="AHI41" s="20"/>
      <c r="AHJ41" s="20"/>
      <c r="AHK41" s="20"/>
      <c r="AHL41" s="20"/>
      <c r="AHM41" s="20"/>
      <c r="AHN41" s="20"/>
      <c r="AHO41" s="20"/>
      <c r="AHP41" s="20"/>
      <c r="AHQ41" s="20"/>
      <c r="AHR41" s="20"/>
      <c r="AHS41" s="20"/>
      <c r="AHT41" s="20"/>
      <c r="AHU41" s="20"/>
      <c r="AHV41" s="20"/>
      <c r="AHW41" s="20"/>
      <c r="AHX41" s="20"/>
      <c r="AHY41" s="20"/>
      <c r="AHZ41" s="20"/>
      <c r="AIA41" s="20"/>
      <c r="AIB41" s="20"/>
      <c r="AIC41" s="20"/>
      <c r="AID41" s="20"/>
      <c r="AIE41" s="20"/>
      <c r="AIF41" s="20"/>
      <c r="AIG41" s="20"/>
      <c r="AIH41" s="20"/>
      <c r="AII41" s="20"/>
      <c r="AIJ41" s="20"/>
      <c r="AIK41" s="20"/>
      <c r="AIL41" s="20"/>
      <c r="AIM41" s="20"/>
      <c r="AIN41" s="20"/>
      <c r="AIO41" s="20"/>
      <c r="AIP41" s="20"/>
      <c r="AIQ41" s="20"/>
      <c r="AIR41" s="20"/>
      <c r="AIS41" s="20"/>
      <c r="AIT41" s="20"/>
      <c r="AIU41" s="20"/>
      <c r="AIV41" s="20"/>
      <c r="AIW41" s="20"/>
      <c r="AIX41" s="20"/>
      <c r="AIY41" s="20"/>
      <c r="AIZ41" s="20"/>
      <c r="AJA41" s="20"/>
      <c r="AJB41" s="20"/>
      <c r="AJC41" s="20"/>
      <c r="AJD41" s="20"/>
      <c r="AJE41" s="20"/>
      <c r="AJF41" s="20"/>
      <c r="AJG41" s="20"/>
      <c r="AJH41" s="20"/>
      <c r="AJI41" s="20"/>
      <c r="AJJ41" s="20"/>
      <c r="AJK41" s="20"/>
      <c r="AJL41" s="20"/>
      <c r="AJM41" s="20"/>
      <c r="AJN41" s="20"/>
      <c r="AJO41" s="20"/>
      <c r="AJP41" s="20"/>
      <c r="AJQ41" s="20"/>
      <c r="AJR41" s="20"/>
      <c r="AJS41" s="20"/>
      <c r="AJT41" s="20"/>
      <c r="AJU41" s="20"/>
      <c r="AJV41" s="20"/>
      <c r="AJW41" s="20"/>
      <c r="AJX41" s="20"/>
      <c r="AJY41" s="20"/>
      <c r="AJZ41" s="20"/>
      <c r="AKA41" s="20"/>
      <c r="AKB41" s="20"/>
      <c r="AKC41" s="20"/>
      <c r="AKD41" s="20"/>
      <c r="AKE41" s="20"/>
      <c r="AKF41" s="20"/>
      <c r="AKG41" s="20"/>
      <c r="AKH41" s="20"/>
      <c r="AKI41" s="20"/>
      <c r="AKJ41" s="20"/>
      <c r="AKK41" s="20"/>
      <c r="AKL41" s="20"/>
      <c r="AKM41" s="20"/>
      <c r="AKN41" s="20"/>
      <c r="AKO41" s="20"/>
      <c r="AKP41" s="20"/>
      <c r="AKQ41" s="20"/>
      <c r="AKR41" s="20"/>
      <c r="AKS41" s="20"/>
      <c r="AKT41" s="20"/>
      <c r="AKU41" s="20"/>
      <c r="AKV41" s="20"/>
      <c r="AKW41" s="20"/>
      <c r="AKX41" s="20"/>
      <c r="AKY41" s="20"/>
      <c r="AKZ41" s="20"/>
      <c r="ALA41" s="20"/>
      <c r="ALB41" s="20"/>
      <c r="ALC41" s="20"/>
      <c r="ALD41" s="20"/>
      <c r="ALE41" s="20"/>
      <c r="ALF41" s="20"/>
      <c r="ALG41" s="20"/>
      <c r="ALH41" s="20"/>
      <c r="ALI41" s="20"/>
      <c r="ALJ41" s="20"/>
      <c r="ALK41" s="20"/>
      <c r="ALL41" s="20"/>
      <c r="ALM41" s="20"/>
      <c r="ALN41" s="20"/>
      <c r="ALO41" s="20"/>
      <c r="ALP41" s="20"/>
      <c r="ALQ41" s="20"/>
      <c r="ALR41" s="20"/>
      <c r="ALS41" s="20"/>
      <c r="ALT41" s="20"/>
      <c r="ALU41" s="20"/>
      <c r="ALV41" s="20"/>
      <c r="ALW41" s="20"/>
      <c r="ALX41" s="20"/>
      <c r="ALY41" s="20"/>
      <c r="ALZ41" s="20"/>
      <c r="AMA41" s="20"/>
      <c r="AMB41" s="20"/>
      <c r="AMC41" s="20"/>
      <c r="AMD41" s="20"/>
      <c r="AME41" s="20"/>
      <c r="AMF41" s="20"/>
      <c r="AMG41" s="20"/>
      <c r="AMH41" s="20"/>
      <c r="AMI41" s="20"/>
      <c r="AMJ41" s="20"/>
      <c r="AMK41" s="20"/>
    </row>
    <row r="42" spans="1:1025" s="21" customFormat="1" ht="12.95" customHeight="1" x14ac:dyDescent="0.25">
      <c r="A42" s="22">
        <v>19</v>
      </c>
      <c r="B42" s="38" t="s">
        <v>227</v>
      </c>
      <c r="C42" s="23">
        <v>10</v>
      </c>
      <c r="D42" s="24">
        <v>12.5</v>
      </c>
      <c r="E42" s="24">
        <v>37.5</v>
      </c>
      <c r="F42" s="24">
        <v>5</v>
      </c>
      <c r="G42" s="24"/>
      <c r="H42" s="24"/>
      <c r="I42" s="24"/>
      <c r="J42" s="24">
        <v>10</v>
      </c>
      <c r="K42" s="24">
        <v>5</v>
      </c>
      <c r="L42" s="24"/>
      <c r="M42" s="24">
        <v>15</v>
      </c>
      <c r="N42" s="24">
        <f t="shared" si="3"/>
        <v>85</v>
      </c>
      <c r="O42" s="24">
        <f t="shared" si="1"/>
        <v>8.5</v>
      </c>
      <c r="P42" s="25">
        <f t="shared" si="2"/>
        <v>-1.5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  <c r="ZP42" s="20"/>
      <c r="ZQ42" s="20"/>
      <c r="ZR42" s="20"/>
      <c r="ZS42" s="20"/>
      <c r="ZT42" s="20"/>
      <c r="ZU42" s="20"/>
      <c r="ZV42" s="20"/>
      <c r="ZW42" s="20"/>
      <c r="ZX42" s="20"/>
      <c r="ZY42" s="20"/>
      <c r="ZZ42" s="20"/>
      <c r="AAA42" s="20"/>
      <c r="AAB42" s="20"/>
      <c r="AAC42" s="20"/>
      <c r="AAD42" s="20"/>
      <c r="AAE42" s="20"/>
      <c r="AAF42" s="20"/>
      <c r="AAG42" s="20"/>
      <c r="AAH42" s="20"/>
      <c r="AAI42" s="20"/>
      <c r="AAJ42" s="20"/>
      <c r="AAK42" s="20"/>
      <c r="AAL42" s="20"/>
      <c r="AAM42" s="20"/>
      <c r="AAN42" s="20"/>
      <c r="AAO42" s="20"/>
      <c r="AAP42" s="20"/>
      <c r="AAQ42" s="20"/>
      <c r="AAR42" s="20"/>
      <c r="AAS42" s="20"/>
      <c r="AAT42" s="20"/>
      <c r="AAU42" s="20"/>
      <c r="AAV42" s="20"/>
      <c r="AAW42" s="20"/>
      <c r="AAX42" s="20"/>
      <c r="AAY42" s="20"/>
      <c r="AAZ42" s="20"/>
      <c r="ABA42" s="20"/>
      <c r="ABB42" s="20"/>
      <c r="ABC42" s="20"/>
      <c r="ABD42" s="20"/>
      <c r="ABE42" s="20"/>
      <c r="ABF42" s="20"/>
      <c r="ABG42" s="20"/>
      <c r="ABH42" s="20"/>
      <c r="ABI42" s="20"/>
      <c r="ABJ42" s="20"/>
      <c r="ABK42" s="20"/>
      <c r="ABL42" s="20"/>
      <c r="ABM42" s="20"/>
      <c r="ABN42" s="20"/>
      <c r="ABO42" s="20"/>
      <c r="ABP42" s="20"/>
      <c r="ABQ42" s="20"/>
      <c r="ABR42" s="20"/>
      <c r="ABS42" s="20"/>
      <c r="ABT42" s="20"/>
      <c r="ABU42" s="20"/>
      <c r="ABV42" s="20"/>
      <c r="ABW42" s="20"/>
      <c r="ABX42" s="20"/>
      <c r="ABY42" s="20"/>
      <c r="ABZ42" s="20"/>
      <c r="ACA42" s="20"/>
      <c r="ACB42" s="20"/>
      <c r="ACC42" s="20"/>
      <c r="ACD42" s="20"/>
      <c r="ACE42" s="20"/>
      <c r="ACF42" s="20"/>
      <c r="ACG42" s="20"/>
      <c r="ACH42" s="20"/>
      <c r="ACI42" s="20"/>
      <c r="ACJ42" s="20"/>
      <c r="ACK42" s="20"/>
      <c r="ACL42" s="20"/>
      <c r="ACM42" s="20"/>
      <c r="ACN42" s="20"/>
      <c r="ACO42" s="20"/>
      <c r="ACP42" s="20"/>
      <c r="ACQ42" s="20"/>
      <c r="ACR42" s="20"/>
      <c r="ACS42" s="20"/>
      <c r="ACT42" s="20"/>
      <c r="ACU42" s="20"/>
      <c r="ACV42" s="20"/>
      <c r="ACW42" s="20"/>
      <c r="ACX42" s="20"/>
      <c r="ACY42" s="20"/>
      <c r="ACZ42" s="20"/>
      <c r="ADA42" s="20"/>
      <c r="ADB42" s="20"/>
      <c r="ADC42" s="20"/>
      <c r="ADD42" s="20"/>
      <c r="ADE42" s="20"/>
      <c r="ADF42" s="20"/>
      <c r="ADG42" s="20"/>
      <c r="ADH42" s="20"/>
      <c r="ADI42" s="20"/>
      <c r="ADJ42" s="20"/>
      <c r="ADK42" s="20"/>
      <c r="ADL42" s="20"/>
      <c r="ADM42" s="20"/>
      <c r="ADN42" s="20"/>
      <c r="ADO42" s="20"/>
      <c r="ADP42" s="20"/>
      <c r="ADQ42" s="20"/>
      <c r="ADR42" s="20"/>
      <c r="ADS42" s="20"/>
      <c r="ADT42" s="20"/>
      <c r="ADU42" s="20"/>
      <c r="ADV42" s="20"/>
      <c r="ADW42" s="20"/>
      <c r="ADX42" s="20"/>
      <c r="ADY42" s="20"/>
      <c r="ADZ42" s="20"/>
      <c r="AEA42" s="20"/>
      <c r="AEB42" s="20"/>
      <c r="AEC42" s="20"/>
      <c r="AED42" s="20"/>
      <c r="AEE42" s="20"/>
      <c r="AEF42" s="20"/>
      <c r="AEG42" s="20"/>
      <c r="AEH42" s="20"/>
      <c r="AEI42" s="20"/>
      <c r="AEJ42" s="20"/>
      <c r="AEK42" s="20"/>
      <c r="AEL42" s="20"/>
      <c r="AEM42" s="20"/>
      <c r="AEN42" s="20"/>
      <c r="AEO42" s="20"/>
      <c r="AEP42" s="20"/>
      <c r="AEQ42" s="20"/>
      <c r="AER42" s="20"/>
      <c r="AES42" s="20"/>
      <c r="AET42" s="20"/>
      <c r="AEU42" s="20"/>
      <c r="AEV42" s="20"/>
      <c r="AEW42" s="20"/>
      <c r="AEX42" s="20"/>
      <c r="AEY42" s="20"/>
      <c r="AEZ42" s="20"/>
      <c r="AFA42" s="20"/>
      <c r="AFB42" s="20"/>
      <c r="AFC42" s="20"/>
      <c r="AFD42" s="20"/>
      <c r="AFE42" s="20"/>
      <c r="AFF42" s="20"/>
      <c r="AFG42" s="20"/>
      <c r="AFH42" s="20"/>
      <c r="AFI42" s="20"/>
      <c r="AFJ42" s="20"/>
      <c r="AFK42" s="20"/>
      <c r="AFL42" s="20"/>
      <c r="AFM42" s="20"/>
      <c r="AFN42" s="20"/>
      <c r="AFO42" s="20"/>
      <c r="AFP42" s="20"/>
      <c r="AFQ42" s="20"/>
      <c r="AFR42" s="20"/>
      <c r="AFS42" s="20"/>
      <c r="AFT42" s="20"/>
      <c r="AFU42" s="20"/>
      <c r="AFV42" s="20"/>
      <c r="AFW42" s="20"/>
      <c r="AFX42" s="20"/>
      <c r="AFY42" s="20"/>
      <c r="AFZ42" s="20"/>
      <c r="AGA42" s="20"/>
      <c r="AGB42" s="20"/>
      <c r="AGC42" s="20"/>
      <c r="AGD42" s="20"/>
      <c r="AGE42" s="20"/>
      <c r="AGF42" s="20"/>
      <c r="AGG42" s="20"/>
      <c r="AGH42" s="20"/>
      <c r="AGI42" s="20"/>
      <c r="AGJ42" s="20"/>
      <c r="AGK42" s="20"/>
      <c r="AGL42" s="20"/>
      <c r="AGM42" s="20"/>
      <c r="AGN42" s="20"/>
      <c r="AGO42" s="20"/>
      <c r="AGP42" s="20"/>
      <c r="AGQ42" s="20"/>
      <c r="AGR42" s="20"/>
      <c r="AGS42" s="20"/>
      <c r="AGT42" s="20"/>
      <c r="AGU42" s="20"/>
      <c r="AGV42" s="20"/>
      <c r="AGW42" s="20"/>
      <c r="AGX42" s="20"/>
      <c r="AGY42" s="20"/>
      <c r="AGZ42" s="20"/>
      <c r="AHA42" s="20"/>
      <c r="AHB42" s="20"/>
      <c r="AHC42" s="20"/>
      <c r="AHD42" s="20"/>
      <c r="AHE42" s="20"/>
      <c r="AHF42" s="20"/>
      <c r="AHG42" s="20"/>
      <c r="AHH42" s="20"/>
      <c r="AHI42" s="20"/>
      <c r="AHJ42" s="20"/>
      <c r="AHK42" s="20"/>
      <c r="AHL42" s="20"/>
      <c r="AHM42" s="20"/>
      <c r="AHN42" s="20"/>
      <c r="AHO42" s="20"/>
      <c r="AHP42" s="20"/>
      <c r="AHQ42" s="20"/>
      <c r="AHR42" s="20"/>
      <c r="AHS42" s="20"/>
      <c r="AHT42" s="20"/>
      <c r="AHU42" s="20"/>
      <c r="AHV42" s="20"/>
      <c r="AHW42" s="20"/>
      <c r="AHX42" s="20"/>
      <c r="AHY42" s="20"/>
      <c r="AHZ42" s="20"/>
      <c r="AIA42" s="20"/>
      <c r="AIB42" s="20"/>
      <c r="AIC42" s="20"/>
      <c r="AID42" s="20"/>
      <c r="AIE42" s="20"/>
      <c r="AIF42" s="20"/>
      <c r="AIG42" s="20"/>
      <c r="AIH42" s="20"/>
      <c r="AII42" s="20"/>
      <c r="AIJ42" s="20"/>
      <c r="AIK42" s="20"/>
      <c r="AIL42" s="20"/>
      <c r="AIM42" s="20"/>
      <c r="AIN42" s="20"/>
      <c r="AIO42" s="20"/>
      <c r="AIP42" s="20"/>
      <c r="AIQ42" s="20"/>
      <c r="AIR42" s="20"/>
      <c r="AIS42" s="20"/>
      <c r="AIT42" s="20"/>
      <c r="AIU42" s="20"/>
      <c r="AIV42" s="20"/>
      <c r="AIW42" s="20"/>
      <c r="AIX42" s="20"/>
      <c r="AIY42" s="20"/>
      <c r="AIZ42" s="20"/>
      <c r="AJA42" s="20"/>
      <c r="AJB42" s="20"/>
      <c r="AJC42" s="20"/>
      <c r="AJD42" s="20"/>
      <c r="AJE42" s="20"/>
      <c r="AJF42" s="20"/>
      <c r="AJG42" s="20"/>
      <c r="AJH42" s="20"/>
      <c r="AJI42" s="20"/>
      <c r="AJJ42" s="20"/>
      <c r="AJK42" s="20"/>
      <c r="AJL42" s="20"/>
      <c r="AJM42" s="20"/>
      <c r="AJN42" s="20"/>
      <c r="AJO42" s="20"/>
      <c r="AJP42" s="20"/>
      <c r="AJQ42" s="20"/>
      <c r="AJR42" s="20"/>
      <c r="AJS42" s="20"/>
      <c r="AJT42" s="20"/>
      <c r="AJU42" s="20"/>
      <c r="AJV42" s="20"/>
      <c r="AJW42" s="20"/>
      <c r="AJX42" s="20"/>
      <c r="AJY42" s="20"/>
      <c r="AJZ42" s="20"/>
      <c r="AKA42" s="20"/>
      <c r="AKB42" s="20"/>
      <c r="AKC42" s="20"/>
      <c r="AKD42" s="20"/>
      <c r="AKE42" s="20"/>
      <c r="AKF42" s="20"/>
      <c r="AKG42" s="20"/>
      <c r="AKH42" s="20"/>
      <c r="AKI42" s="20"/>
      <c r="AKJ42" s="20"/>
      <c r="AKK42" s="20"/>
      <c r="AKL42" s="20"/>
      <c r="AKM42" s="20"/>
      <c r="AKN42" s="20"/>
      <c r="AKO42" s="20"/>
      <c r="AKP42" s="20"/>
      <c r="AKQ42" s="20"/>
      <c r="AKR42" s="20"/>
      <c r="AKS42" s="20"/>
      <c r="AKT42" s="20"/>
      <c r="AKU42" s="20"/>
      <c r="AKV42" s="20"/>
      <c r="AKW42" s="20"/>
      <c r="AKX42" s="20"/>
      <c r="AKY42" s="20"/>
      <c r="AKZ42" s="20"/>
      <c r="ALA42" s="20"/>
      <c r="ALB42" s="20"/>
      <c r="ALC42" s="20"/>
      <c r="ALD42" s="20"/>
      <c r="ALE42" s="20"/>
      <c r="ALF42" s="20"/>
      <c r="ALG42" s="20"/>
      <c r="ALH42" s="20"/>
      <c r="ALI42" s="20"/>
      <c r="ALJ42" s="20"/>
      <c r="ALK42" s="20"/>
      <c r="ALL42" s="20"/>
      <c r="ALM42" s="20"/>
      <c r="ALN42" s="20"/>
      <c r="ALO42" s="20"/>
      <c r="ALP42" s="20"/>
      <c r="ALQ42" s="20"/>
      <c r="ALR42" s="20"/>
      <c r="ALS42" s="20"/>
      <c r="ALT42" s="20"/>
      <c r="ALU42" s="20"/>
      <c r="ALV42" s="20"/>
      <c r="ALW42" s="20"/>
      <c r="ALX42" s="20"/>
      <c r="ALY42" s="20"/>
      <c r="ALZ42" s="20"/>
      <c r="AMA42" s="20"/>
      <c r="AMB42" s="20"/>
      <c r="AMC42" s="20"/>
      <c r="AMD42" s="20"/>
      <c r="AME42" s="20"/>
      <c r="AMF42" s="20"/>
      <c r="AMG42" s="20"/>
      <c r="AMH42" s="20"/>
      <c r="AMI42" s="20"/>
      <c r="AMJ42" s="20"/>
      <c r="AMK42" s="20"/>
    </row>
    <row r="43" spans="1:1025" s="21" customFormat="1" ht="12.95" customHeight="1" x14ac:dyDescent="0.25">
      <c r="A43" s="26"/>
      <c r="B43" s="39" t="s">
        <v>227</v>
      </c>
      <c r="C43" s="27">
        <v>10</v>
      </c>
      <c r="D43" s="28">
        <v>0</v>
      </c>
      <c r="E43" s="28">
        <v>4.16</v>
      </c>
      <c r="F43" s="28">
        <v>12.5</v>
      </c>
      <c r="G43" s="28"/>
      <c r="H43" s="28">
        <f>22.5+4.99</f>
        <v>27.490000000000002</v>
      </c>
      <c r="I43" s="28">
        <v>15</v>
      </c>
      <c r="J43" s="28">
        <v>12.5</v>
      </c>
      <c r="K43" s="28"/>
      <c r="L43" s="28"/>
      <c r="M43" s="28">
        <v>18.100000000000001</v>
      </c>
      <c r="N43" s="28">
        <f>Таблица4[[#This Row],[Столбец13]]+Таблица4[[#This Row],[Столбец10]]+Таблица4[[#This Row],[Столбец9]]+Таблица4[[#This Row],[Столбец8]]+Таблица4[[#This Row],[Столбец6]]+Таблица4[[#This Row],[Столбец5]]</f>
        <v>89.75</v>
      </c>
      <c r="O43" s="28">
        <f>Таблица4[[#This Row],[Столбец14]]/10</f>
        <v>8.9749999999999996</v>
      </c>
      <c r="P43" s="29">
        <f>O43-C43</f>
        <v>-1.0250000000000004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  <c r="ZP43" s="20"/>
      <c r="ZQ43" s="20"/>
      <c r="ZR43" s="20"/>
      <c r="ZS43" s="20"/>
      <c r="ZT43" s="20"/>
      <c r="ZU43" s="20"/>
      <c r="ZV43" s="20"/>
      <c r="ZW43" s="20"/>
      <c r="ZX43" s="20"/>
      <c r="ZY43" s="20"/>
      <c r="ZZ43" s="20"/>
      <c r="AAA43" s="20"/>
      <c r="AAB43" s="20"/>
      <c r="AAC43" s="20"/>
      <c r="AAD43" s="20"/>
      <c r="AAE43" s="20"/>
      <c r="AAF43" s="20"/>
      <c r="AAG43" s="20"/>
      <c r="AAH43" s="20"/>
      <c r="AAI43" s="20"/>
      <c r="AAJ43" s="20"/>
      <c r="AAK43" s="20"/>
      <c r="AAL43" s="20"/>
      <c r="AAM43" s="20"/>
      <c r="AAN43" s="20"/>
      <c r="AAO43" s="20"/>
      <c r="AAP43" s="20"/>
      <c r="AAQ43" s="20"/>
      <c r="AAR43" s="20"/>
      <c r="AAS43" s="20"/>
      <c r="AAT43" s="20"/>
      <c r="AAU43" s="20"/>
      <c r="AAV43" s="20"/>
      <c r="AAW43" s="20"/>
      <c r="AAX43" s="20"/>
      <c r="AAY43" s="20"/>
      <c r="AAZ43" s="20"/>
      <c r="ABA43" s="20"/>
      <c r="ABB43" s="20"/>
      <c r="ABC43" s="20"/>
      <c r="ABD43" s="20"/>
      <c r="ABE43" s="20"/>
      <c r="ABF43" s="20"/>
      <c r="ABG43" s="20"/>
      <c r="ABH43" s="20"/>
      <c r="ABI43" s="20"/>
      <c r="ABJ43" s="20"/>
      <c r="ABK43" s="20"/>
      <c r="ABL43" s="20"/>
      <c r="ABM43" s="20"/>
      <c r="ABN43" s="20"/>
      <c r="ABO43" s="20"/>
      <c r="ABP43" s="20"/>
      <c r="ABQ43" s="20"/>
      <c r="ABR43" s="20"/>
      <c r="ABS43" s="20"/>
      <c r="ABT43" s="20"/>
      <c r="ABU43" s="20"/>
      <c r="ABV43" s="20"/>
      <c r="ABW43" s="20"/>
      <c r="ABX43" s="20"/>
      <c r="ABY43" s="20"/>
      <c r="ABZ43" s="20"/>
      <c r="ACA43" s="20"/>
      <c r="ACB43" s="20"/>
      <c r="ACC43" s="20"/>
      <c r="ACD43" s="20"/>
      <c r="ACE43" s="20"/>
      <c r="ACF43" s="20"/>
      <c r="ACG43" s="20"/>
      <c r="ACH43" s="20"/>
      <c r="ACI43" s="20"/>
      <c r="ACJ43" s="20"/>
      <c r="ACK43" s="20"/>
      <c r="ACL43" s="20"/>
      <c r="ACM43" s="20"/>
      <c r="ACN43" s="20"/>
      <c r="ACO43" s="20"/>
      <c r="ACP43" s="20"/>
      <c r="ACQ43" s="20"/>
      <c r="ACR43" s="20"/>
      <c r="ACS43" s="20"/>
      <c r="ACT43" s="20"/>
      <c r="ACU43" s="20"/>
      <c r="ACV43" s="20"/>
      <c r="ACW43" s="20"/>
      <c r="ACX43" s="20"/>
      <c r="ACY43" s="20"/>
      <c r="ACZ43" s="20"/>
      <c r="ADA43" s="20"/>
      <c r="ADB43" s="20"/>
      <c r="ADC43" s="20"/>
      <c r="ADD43" s="20"/>
      <c r="ADE43" s="20"/>
      <c r="ADF43" s="20"/>
      <c r="ADG43" s="20"/>
      <c r="ADH43" s="20"/>
      <c r="ADI43" s="20"/>
      <c r="ADJ43" s="20"/>
      <c r="ADK43" s="20"/>
      <c r="ADL43" s="20"/>
      <c r="ADM43" s="20"/>
      <c r="ADN43" s="20"/>
      <c r="ADO43" s="20"/>
      <c r="ADP43" s="20"/>
      <c r="ADQ43" s="20"/>
      <c r="ADR43" s="20"/>
      <c r="ADS43" s="20"/>
      <c r="ADT43" s="20"/>
      <c r="ADU43" s="20"/>
      <c r="ADV43" s="20"/>
      <c r="ADW43" s="20"/>
      <c r="ADX43" s="20"/>
      <c r="ADY43" s="20"/>
      <c r="ADZ43" s="20"/>
      <c r="AEA43" s="20"/>
      <c r="AEB43" s="20"/>
      <c r="AEC43" s="20"/>
      <c r="AED43" s="20"/>
      <c r="AEE43" s="20"/>
      <c r="AEF43" s="20"/>
      <c r="AEG43" s="20"/>
      <c r="AEH43" s="20"/>
      <c r="AEI43" s="20"/>
      <c r="AEJ43" s="20"/>
      <c r="AEK43" s="20"/>
      <c r="AEL43" s="20"/>
      <c r="AEM43" s="20"/>
      <c r="AEN43" s="20"/>
      <c r="AEO43" s="20"/>
      <c r="AEP43" s="20"/>
      <c r="AEQ43" s="20"/>
      <c r="AER43" s="20"/>
      <c r="AES43" s="20"/>
      <c r="AET43" s="20"/>
      <c r="AEU43" s="20"/>
      <c r="AEV43" s="20"/>
      <c r="AEW43" s="20"/>
      <c r="AEX43" s="20"/>
      <c r="AEY43" s="20"/>
      <c r="AEZ43" s="20"/>
      <c r="AFA43" s="20"/>
      <c r="AFB43" s="20"/>
      <c r="AFC43" s="20"/>
      <c r="AFD43" s="20"/>
      <c r="AFE43" s="20"/>
      <c r="AFF43" s="20"/>
      <c r="AFG43" s="20"/>
      <c r="AFH43" s="20"/>
      <c r="AFI43" s="20"/>
      <c r="AFJ43" s="20"/>
      <c r="AFK43" s="20"/>
      <c r="AFL43" s="20"/>
      <c r="AFM43" s="20"/>
      <c r="AFN43" s="20"/>
      <c r="AFO43" s="20"/>
      <c r="AFP43" s="20"/>
      <c r="AFQ43" s="20"/>
      <c r="AFR43" s="20"/>
      <c r="AFS43" s="20"/>
      <c r="AFT43" s="20"/>
      <c r="AFU43" s="20"/>
      <c r="AFV43" s="20"/>
      <c r="AFW43" s="20"/>
      <c r="AFX43" s="20"/>
      <c r="AFY43" s="20"/>
      <c r="AFZ43" s="20"/>
      <c r="AGA43" s="20"/>
      <c r="AGB43" s="20"/>
      <c r="AGC43" s="20"/>
      <c r="AGD43" s="20"/>
      <c r="AGE43" s="20"/>
      <c r="AGF43" s="20"/>
      <c r="AGG43" s="20"/>
      <c r="AGH43" s="20"/>
      <c r="AGI43" s="20"/>
      <c r="AGJ43" s="20"/>
      <c r="AGK43" s="20"/>
      <c r="AGL43" s="20"/>
      <c r="AGM43" s="20"/>
      <c r="AGN43" s="20"/>
      <c r="AGO43" s="20"/>
      <c r="AGP43" s="20"/>
      <c r="AGQ43" s="20"/>
      <c r="AGR43" s="20"/>
      <c r="AGS43" s="20"/>
      <c r="AGT43" s="20"/>
      <c r="AGU43" s="20"/>
      <c r="AGV43" s="20"/>
      <c r="AGW43" s="20"/>
      <c r="AGX43" s="20"/>
      <c r="AGY43" s="20"/>
      <c r="AGZ43" s="20"/>
      <c r="AHA43" s="20"/>
      <c r="AHB43" s="20"/>
      <c r="AHC43" s="20"/>
      <c r="AHD43" s="20"/>
      <c r="AHE43" s="20"/>
      <c r="AHF43" s="20"/>
      <c r="AHG43" s="20"/>
      <c r="AHH43" s="20"/>
      <c r="AHI43" s="20"/>
      <c r="AHJ43" s="20"/>
      <c r="AHK43" s="20"/>
      <c r="AHL43" s="20"/>
      <c r="AHM43" s="20"/>
      <c r="AHN43" s="20"/>
      <c r="AHO43" s="20"/>
      <c r="AHP43" s="20"/>
      <c r="AHQ43" s="20"/>
      <c r="AHR43" s="20"/>
      <c r="AHS43" s="20"/>
      <c r="AHT43" s="20"/>
      <c r="AHU43" s="20"/>
      <c r="AHV43" s="20"/>
      <c r="AHW43" s="20"/>
      <c r="AHX43" s="20"/>
      <c r="AHY43" s="20"/>
      <c r="AHZ43" s="20"/>
      <c r="AIA43" s="20"/>
      <c r="AIB43" s="20"/>
      <c r="AIC43" s="20"/>
      <c r="AID43" s="20"/>
      <c r="AIE43" s="20"/>
      <c r="AIF43" s="20"/>
      <c r="AIG43" s="20"/>
      <c r="AIH43" s="20"/>
      <c r="AII43" s="20"/>
      <c r="AIJ43" s="20"/>
      <c r="AIK43" s="20"/>
      <c r="AIL43" s="20"/>
      <c r="AIM43" s="20"/>
      <c r="AIN43" s="20"/>
      <c r="AIO43" s="20"/>
      <c r="AIP43" s="20"/>
      <c r="AIQ43" s="20"/>
      <c r="AIR43" s="20"/>
      <c r="AIS43" s="20"/>
      <c r="AIT43" s="20"/>
      <c r="AIU43" s="20"/>
      <c r="AIV43" s="20"/>
      <c r="AIW43" s="20"/>
      <c r="AIX43" s="20"/>
      <c r="AIY43" s="20"/>
      <c r="AIZ43" s="20"/>
      <c r="AJA43" s="20"/>
      <c r="AJB43" s="20"/>
      <c r="AJC43" s="20"/>
      <c r="AJD43" s="20"/>
      <c r="AJE43" s="20"/>
      <c r="AJF43" s="20"/>
      <c r="AJG43" s="20"/>
      <c r="AJH43" s="20"/>
      <c r="AJI43" s="20"/>
      <c r="AJJ43" s="20"/>
      <c r="AJK43" s="20"/>
      <c r="AJL43" s="20"/>
      <c r="AJM43" s="20"/>
      <c r="AJN43" s="20"/>
      <c r="AJO43" s="20"/>
      <c r="AJP43" s="20"/>
      <c r="AJQ43" s="20"/>
      <c r="AJR43" s="20"/>
      <c r="AJS43" s="20"/>
      <c r="AJT43" s="20"/>
      <c r="AJU43" s="20"/>
      <c r="AJV43" s="20"/>
      <c r="AJW43" s="20"/>
      <c r="AJX43" s="20"/>
      <c r="AJY43" s="20"/>
      <c r="AJZ43" s="20"/>
      <c r="AKA43" s="20"/>
      <c r="AKB43" s="20"/>
      <c r="AKC43" s="20"/>
      <c r="AKD43" s="20"/>
      <c r="AKE43" s="20"/>
      <c r="AKF43" s="20"/>
      <c r="AKG43" s="20"/>
      <c r="AKH43" s="20"/>
      <c r="AKI43" s="20"/>
      <c r="AKJ43" s="20"/>
      <c r="AKK43" s="20"/>
      <c r="AKL43" s="20"/>
      <c r="AKM43" s="20"/>
      <c r="AKN43" s="20"/>
      <c r="AKO43" s="20"/>
      <c r="AKP43" s="20"/>
      <c r="AKQ43" s="20"/>
      <c r="AKR43" s="20"/>
      <c r="AKS43" s="20"/>
      <c r="AKT43" s="20"/>
      <c r="AKU43" s="20"/>
      <c r="AKV43" s="20"/>
      <c r="AKW43" s="20"/>
      <c r="AKX43" s="20"/>
      <c r="AKY43" s="20"/>
      <c r="AKZ43" s="20"/>
      <c r="ALA43" s="20"/>
      <c r="ALB43" s="20"/>
      <c r="ALC43" s="20"/>
      <c r="ALD43" s="20"/>
      <c r="ALE43" s="20"/>
      <c r="ALF43" s="20"/>
      <c r="ALG43" s="20"/>
      <c r="ALH43" s="20"/>
      <c r="ALI43" s="20"/>
      <c r="ALJ43" s="20"/>
      <c r="ALK43" s="20"/>
      <c r="ALL43" s="20"/>
      <c r="ALM43" s="20"/>
      <c r="ALN43" s="20"/>
      <c r="ALO43" s="20"/>
      <c r="ALP43" s="20"/>
      <c r="ALQ43" s="20"/>
      <c r="ALR43" s="20"/>
      <c r="ALS43" s="20"/>
      <c r="ALT43" s="20"/>
      <c r="ALU43" s="20"/>
      <c r="ALV43" s="20"/>
      <c r="ALW43" s="20"/>
      <c r="ALX43" s="20"/>
      <c r="ALY43" s="20"/>
      <c r="ALZ43" s="20"/>
      <c r="AMA43" s="20"/>
      <c r="AMB43" s="20"/>
      <c r="AMC43" s="20"/>
      <c r="AMD43" s="20"/>
      <c r="AME43" s="20"/>
      <c r="AMF43" s="20"/>
      <c r="AMG43" s="20"/>
      <c r="AMH43" s="20"/>
      <c r="AMI43" s="20"/>
      <c r="AMJ43" s="20"/>
      <c r="AMK43" s="20"/>
    </row>
    <row r="44" spans="1:1025" s="21" customFormat="1" ht="12.95" customHeight="1" x14ac:dyDescent="0.25">
      <c r="A44" s="22">
        <v>20</v>
      </c>
      <c r="B44" s="38" t="s">
        <v>224</v>
      </c>
      <c r="C44" s="23">
        <v>30</v>
      </c>
      <c r="D44" s="24">
        <f>5+5+3.19+4.1+6.6</f>
        <v>23.89</v>
      </c>
      <c r="E44" s="24">
        <f>1.25+6.4</f>
        <v>7.65</v>
      </c>
      <c r="F44" s="24">
        <f>15+0.88</f>
        <v>15.88</v>
      </c>
      <c r="G44" s="24">
        <v>4</v>
      </c>
      <c r="H44" s="24">
        <f>5+5+5+6.6</f>
        <v>21.6</v>
      </c>
      <c r="I44" s="24">
        <f>5.71+2.8+7.31+6.75</f>
        <v>22.57</v>
      </c>
      <c r="J44" s="24">
        <v>5</v>
      </c>
      <c r="K44" s="24">
        <v>2.5</v>
      </c>
      <c r="L44" s="24">
        <f>6.6+2.8+4.5</f>
        <v>13.899999999999999</v>
      </c>
      <c r="M44" s="24">
        <v>8.33</v>
      </c>
      <c r="N44" s="24">
        <f t="shared" si="3"/>
        <v>125.32000000000001</v>
      </c>
      <c r="O44" s="24">
        <f t="shared" si="1"/>
        <v>12.532</v>
      </c>
      <c r="P44" s="25">
        <f t="shared" si="2"/>
        <v>-17.468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  <c r="ON44" s="20"/>
      <c r="OO44" s="20"/>
      <c r="OP44" s="20"/>
      <c r="OQ44" s="20"/>
      <c r="OR44" s="20"/>
      <c r="OS44" s="20"/>
      <c r="OT44" s="20"/>
      <c r="OU44" s="20"/>
      <c r="OV44" s="20"/>
      <c r="OW44" s="20"/>
      <c r="OX44" s="20"/>
      <c r="OY44" s="20"/>
      <c r="OZ44" s="20"/>
      <c r="PA44" s="20"/>
      <c r="PB44" s="20"/>
      <c r="PC44" s="20"/>
      <c r="PD44" s="20"/>
      <c r="PE44" s="20"/>
      <c r="PF44" s="20"/>
      <c r="PG44" s="20"/>
      <c r="PH44" s="20"/>
      <c r="PI44" s="20"/>
      <c r="PJ44" s="20"/>
      <c r="PK44" s="20"/>
      <c r="PL44" s="20"/>
      <c r="PM44" s="20"/>
      <c r="PN44" s="20"/>
      <c r="PO44" s="20"/>
      <c r="PP44" s="20"/>
      <c r="PQ44" s="20"/>
      <c r="PR44" s="20"/>
      <c r="PS44" s="20"/>
      <c r="PT44" s="20"/>
      <c r="PU44" s="20"/>
      <c r="PV44" s="20"/>
      <c r="PW44" s="20"/>
      <c r="PX44" s="20"/>
      <c r="PY44" s="20"/>
      <c r="PZ44" s="20"/>
      <c r="QA44" s="20"/>
      <c r="QB44" s="20"/>
      <c r="QC44" s="20"/>
      <c r="QD44" s="20"/>
      <c r="QE44" s="20"/>
      <c r="QF44" s="20"/>
      <c r="QG44" s="20"/>
      <c r="QH44" s="20"/>
      <c r="QI44" s="20"/>
      <c r="QJ44" s="20"/>
      <c r="QK44" s="20"/>
      <c r="QL44" s="20"/>
      <c r="QM44" s="20"/>
      <c r="QN44" s="20"/>
      <c r="QO44" s="20"/>
      <c r="QP44" s="20"/>
      <c r="QQ44" s="20"/>
      <c r="QR44" s="20"/>
      <c r="QS44" s="20"/>
      <c r="QT44" s="20"/>
      <c r="QU44" s="20"/>
      <c r="QV44" s="20"/>
      <c r="QW44" s="20"/>
      <c r="QX44" s="20"/>
      <c r="QY44" s="20"/>
      <c r="QZ44" s="20"/>
      <c r="RA44" s="20"/>
      <c r="RB44" s="20"/>
      <c r="RC44" s="20"/>
      <c r="RD44" s="20"/>
      <c r="RE44" s="20"/>
      <c r="RF44" s="20"/>
      <c r="RG44" s="20"/>
      <c r="RH44" s="20"/>
      <c r="RI44" s="20"/>
      <c r="RJ44" s="20"/>
      <c r="RK44" s="20"/>
      <c r="RL44" s="20"/>
      <c r="RM44" s="20"/>
      <c r="RN44" s="20"/>
      <c r="RO44" s="20"/>
      <c r="RP44" s="20"/>
      <c r="RQ44" s="20"/>
      <c r="RR44" s="20"/>
      <c r="RS44" s="20"/>
      <c r="RT44" s="20"/>
      <c r="RU44" s="20"/>
      <c r="RV44" s="20"/>
      <c r="RW44" s="20"/>
      <c r="RX44" s="20"/>
      <c r="RY44" s="20"/>
      <c r="RZ44" s="20"/>
      <c r="SA44" s="20"/>
      <c r="SB44" s="20"/>
      <c r="SC44" s="20"/>
      <c r="SD44" s="20"/>
      <c r="SE44" s="20"/>
      <c r="SF44" s="20"/>
      <c r="SG44" s="20"/>
      <c r="SH44" s="20"/>
      <c r="SI44" s="20"/>
      <c r="SJ44" s="20"/>
      <c r="SK44" s="20"/>
      <c r="SL44" s="20"/>
      <c r="SM44" s="20"/>
      <c r="SN44" s="20"/>
      <c r="SO44" s="20"/>
      <c r="SP44" s="20"/>
      <c r="SQ44" s="20"/>
      <c r="SR44" s="20"/>
      <c r="SS44" s="20"/>
      <c r="ST44" s="20"/>
      <c r="SU44" s="20"/>
      <c r="SV44" s="20"/>
      <c r="SW44" s="20"/>
      <c r="SX44" s="20"/>
      <c r="SY44" s="20"/>
      <c r="SZ44" s="20"/>
      <c r="TA44" s="20"/>
      <c r="TB44" s="20"/>
      <c r="TC44" s="20"/>
      <c r="TD44" s="20"/>
      <c r="TE44" s="20"/>
      <c r="TF44" s="20"/>
      <c r="TG44" s="20"/>
      <c r="TH44" s="20"/>
      <c r="TI44" s="20"/>
      <c r="TJ44" s="20"/>
      <c r="TK44" s="20"/>
      <c r="TL44" s="20"/>
      <c r="TM44" s="20"/>
      <c r="TN44" s="20"/>
      <c r="TO44" s="20"/>
      <c r="TP44" s="20"/>
      <c r="TQ44" s="20"/>
      <c r="TR44" s="20"/>
      <c r="TS44" s="20"/>
      <c r="TT44" s="20"/>
      <c r="TU44" s="20"/>
      <c r="TV44" s="20"/>
      <c r="TW44" s="20"/>
      <c r="TX44" s="20"/>
      <c r="TY44" s="20"/>
      <c r="TZ44" s="20"/>
      <c r="UA44" s="20"/>
      <c r="UB44" s="20"/>
      <c r="UC44" s="20"/>
      <c r="UD44" s="20"/>
      <c r="UE44" s="20"/>
      <c r="UF44" s="20"/>
      <c r="UG44" s="20"/>
      <c r="UH44" s="20"/>
      <c r="UI44" s="20"/>
      <c r="UJ44" s="20"/>
      <c r="UK44" s="20"/>
      <c r="UL44" s="20"/>
      <c r="UM44" s="20"/>
      <c r="UN44" s="20"/>
      <c r="UO44" s="20"/>
      <c r="UP44" s="20"/>
      <c r="UQ44" s="20"/>
      <c r="UR44" s="20"/>
      <c r="US44" s="20"/>
      <c r="UT44" s="20"/>
      <c r="UU44" s="20"/>
      <c r="UV44" s="20"/>
      <c r="UW44" s="20"/>
      <c r="UX44" s="20"/>
      <c r="UY44" s="20"/>
      <c r="UZ44" s="20"/>
      <c r="VA44" s="20"/>
      <c r="VB44" s="20"/>
      <c r="VC44" s="20"/>
      <c r="VD44" s="20"/>
      <c r="VE44" s="20"/>
      <c r="VF44" s="20"/>
      <c r="VG44" s="20"/>
      <c r="VH44" s="20"/>
      <c r="VI44" s="20"/>
      <c r="VJ44" s="20"/>
      <c r="VK44" s="20"/>
      <c r="VL44" s="20"/>
      <c r="VM44" s="20"/>
      <c r="VN44" s="20"/>
      <c r="VO44" s="20"/>
      <c r="VP44" s="20"/>
      <c r="VQ44" s="20"/>
      <c r="VR44" s="20"/>
      <c r="VS44" s="20"/>
      <c r="VT44" s="20"/>
      <c r="VU44" s="20"/>
      <c r="VV44" s="20"/>
      <c r="VW44" s="20"/>
      <c r="VX44" s="20"/>
      <c r="VY44" s="20"/>
      <c r="VZ44" s="20"/>
      <c r="WA44" s="20"/>
      <c r="WB44" s="20"/>
      <c r="WC44" s="20"/>
      <c r="WD44" s="20"/>
      <c r="WE44" s="20"/>
      <c r="WF44" s="20"/>
      <c r="WG44" s="20"/>
      <c r="WH44" s="20"/>
      <c r="WI44" s="20"/>
      <c r="WJ44" s="20"/>
      <c r="WK44" s="20"/>
      <c r="WL44" s="20"/>
      <c r="WM44" s="20"/>
      <c r="WN44" s="20"/>
      <c r="WO44" s="20"/>
      <c r="WP44" s="20"/>
      <c r="WQ44" s="20"/>
      <c r="WR44" s="20"/>
      <c r="WS44" s="20"/>
      <c r="WT44" s="20"/>
      <c r="WU44" s="20"/>
      <c r="WV44" s="20"/>
      <c r="WW44" s="20"/>
      <c r="WX44" s="20"/>
      <c r="WY44" s="20"/>
      <c r="WZ44" s="20"/>
      <c r="XA44" s="20"/>
      <c r="XB44" s="20"/>
      <c r="XC44" s="20"/>
      <c r="XD44" s="20"/>
      <c r="XE44" s="20"/>
      <c r="XF44" s="20"/>
      <c r="XG44" s="20"/>
      <c r="XH44" s="20"/>
      <c r="XI44" s="20"/>
      <c r="XJ44" s="20"/>
      <c r="XK44" s="20"/>
      <c r="XL44" s="20"/>
      <c r="XM44" s="20"/>
      <c r="XN44" s="20"/>
      <c r="XO44" s="20"/>
      <c r="XP44" s="20"/>
      <c r="XQ44" s="20"/>
      <c r="XR44" s="20"/>
      <c r="XS44" s="20"/>
      <c r="XT44" s="20"/>
      <c r="XU44" s="20"/>
      <c r="XV44" s="20"/>
      <c r="XW44" s="20"/>
      <c r="XX44" s="20"/>
      <c r="XY44" s="20"/>
      <c r="XZ44" s="20"/>
      <c r="YA44" s="20"/>
      <c r="YB44" s="20"/>
      <c r="YC44" s="20"/>
      <c r="YD44" s="20"/>
      <c r="YE44" s="20"/>
      <c r="YF44" s="20"/>
      <c r="YG44" s="20"/>
      <c r="YH44" s="20"/>
      <c r="YI44" s="20"/>
      <c r="YJ44" s="20"/>
      <c r="YK44" s="20"/>
      <c r="YL44" s="20"/>
      <c r="YM44" s="20"/>
      <c r="YN44" s="20"/>
      <c r="YO44" s="20"/>
      <c r="YP44" s="20"/>
      <c r="YQ44" s="20"/>
      <c r="YR44" s="20"/>
      <c r="YS44" s="20"/>
      <c r="YT44" s="20"/>
      <c r="YU44" s="20"/>
      <c r="YV44" s="20"/>
      <c r="YW44" s="20"/>
      <c r="YX44" s="20"/>
      <c r="YY44" s="20"/>
      <c r="YZ44" s="20"/>
      <c r="ZA44" s="20"/>
      <c r="ZB44" s="20"/>
      <c r="ZC44" s="20"/>
      <c r="ZD44" s="20"/>
      <c r="ZE44" s="20"/>
      <c r="ZF44" s="20"/>
      <c r="ZG44" s="20"/>
      <c r="ZH44" s="20"/>
      <c r="ZI44" s="20"/>
      <c r="ZJ44" s="20"/>
      <c r="ZK44" s="20"/>
      <c r="ZL44" s="20"/>
      <c r="ZM44" s="20"/>
      <c r="ZN44" s="20"/>
      <c r="ZO44" s="20"/>
      <c r="ZP44" s="20"/>
      <c r="ZQ44" s="20"/>
      <c r="ZR44" s="20"/>
      <c r="ZS44" s="20"/>
      <c r="ZT44" s="20"/>
      <c r="ZU44" s="20"/>
      <c r="ZV44" s="20"/>
      <c r="ZW44" s="20"/>
      <c r="ZX44" s="20"/>
      <c r="ZY44" s="20"/>
      <c r="ZZ44" s="20"/>
      <c r="AAA44" s="20"/>
      <c r="AAB44" s="20"/>
      <c r="AAC44" s="20"/>
      <c r="AAD44" s="20"/>
      <c r="AAE44" s="20"/>
      <c r="AAF44" s="20"/>
      <c r="AAG44" s="20"/>
      <c r="AAH44" s="20"/>
      <c r="AAI44" s="20"/>
      <c r="AAJ44" s="20"/>
      <c r="AAK44" s="20"/>
      <c r="AAL44" s="20"/>
      <c r="AAM44" s="20"/>
      <c r="AAN44" s="20"/>
      <c r="AAO44" s="20"/>
      <c r="AAP44" s="20"/>
      <c r="AAQ44" s="20"/>
      <c r="AAR44" s="20"/>
      <c r="AAS44" s="20"/>
      <c r="AAT44" s="20"/>
      <c r="AAU44" s="20"/>
      <c r="AAV44" s="20"/>
      <c r="AAW44" s="20"/>
      <c r="AAX44" s="20"/>
      <c r="AAY44" s="20"/>
      <c r="AAZ44" s="20"/>
      <c r="ABA44" s="20"/>
      <c r="ABB44" s="20"/>
      <c r="ABC44" s="20"/>
      <c r="ABD44" s="20"/>
      <c r="ABE44" s="20"/>
      <c r="ABF44" s="20"/>
      <c r="ABG44" s="20"/>
      <c r="ABH44" s="20"/>
      <c r="ABI44" s="20"/>
      <c r="ABJ44" s="20"/>
      <c r="ABK44" s="20"/>
      <c r="ABL44" s="20"/>
      <c r="ABM44" s="20"/>
      <c r="ABN44" s="20"/>
      <c r="ABO44" s="20"/>
      <c r="ABP44" s="20"/>
      <c r="ABQ44" s="20"/>
      <c r="ABR44" s="20"/>
      <c r="ABS44" s="20"/>
      <c r="ABT44" s="20"/>
      <c r="ABU44" s="20"/>
      <c r="ABV44" s="20"/>
      <c r="ABW44" s="20"/>
      <c r="ABX44" s="20"/>
      <c r="ABY44" s="20"/>
      <c r="ABZ44" s="20"/>
      <c r="ACA44" s="20"/>
      <c r="ACB44" s="20"/>
      <c r="ACC44" s="20"/>
      <c r="ACD44" s="20"/>
      <c r="ACE44" s="20"/>
      <c r="ACF44" s="20"/>
      <c r="ACG44" s="20"/>
      <c r="ACH44" s="20"/>
      <c r="ACI44" s="20"/>
      <c r="ACJ44" s="20"/>
      <c r="ACK44" s="20"/>
      <c r="ACL44" s="20"/>
      <c r="ACM44" s="20"/>
      <c r="ACN44" s="20"/>
      <c r="ACO44" s="20"/>
      <c r="ACP44" s="20"/>
      <c r="ACQ44" s="20"/>
      <c r="ACR44" s="20"/>
      <c r="ACS44" s="20"/>
      <c r="ACT44" s="20"/>
      <c r="ACU44" s="20"/>
      <c r="ACV44" s="20"/>
      <c r="ACW44" s="20"/>
      <c r="ACX44" s="20"/>
      <c r="ACY44" s="20"/>
      <c r="ACZ44" s="20"/>
      <c r="ADA44" s="20"/>
      <c r="ADB44" s="20"/>
      <c r="ADC44" s="20"/>
      <c r="ADD44" s="20"/>
      <c r="ADE44" s="20"/>
      <c r="ADF44" s="20"/>
      <c r="ADG44" s="20"/>
      <c r="ADH44" s="20"/>
      <c r="ADI44" s="20"/>
      <c r="ADJ44" s="20"/>
      <c r="ADK44" s="20"/>
      <c r="ADL44" s="20"/>
      <c r="ADM44" s="20"/>
      <c r="ADN44" s="20"/>
      <c r="ADO44" s="20"/>
      <c r="ADP44" s="20"/>
      <c r="ADQ44" s="20"/>
      <c r="ADR44" s="20"/>
      <c r="ADS44" s="20"/>
      <c r="ADT44" s="20"/>
      <c r="ADU44" s="20"/>
      <c r="ADV44" s="20"/>
      <c r="ADW44" s="20"/>
      <c r="ADX44" s="20"/>
      <c r="ADY44" s="20"/>
      <c r="ADZ44" s="20"/>
      <c r="AEA44" s="20"/>
      <c r="AEB44" s="20"/>
      <c r="AEC44" s="20"/>
      <c r="AED44" s="20"/>
      <c r="AEE44" s="20"/>
      <c r="AEF44" s="20"/>
      <c r="AEG44" s="20"/>
      <c r="AEH44" s="20"/>
      <c r="AEI44" s="20"/>
      <c r="AEJ44" s="20"/>
      <c r="AEK44" s="20"/>
      <c r="AEL44" s="20"/>
      <c r="AEM44" s="20"/>
      <c r="AEN44" s="20"/>
      <c r="AEO44" s="20"/>
      <c r="AEP44" s="20"/>
      <c r="AEQ44" s="20"/>
      <c r="AER44" s="20"/>
      <c r="AES44" s="20"/>
      <c r="AET44" s="20"/>
      <c r="AEU44" s="20"/>
      <c r="AEV44" s="20"/>
      <c r="AEW44" s="20"/>
      <c r="AEX44" s="20"/>
      <c r="AEY44" s="20"/>
      <c r="AEZ44" s="20"/>
      <c r="AFA44" s="20"/>
      <c r="AFB44" s="20"/>
      <c r="AFC44" s="20"/>
      <c r="AFD44" s="20"/>
      <c r="AFE44" s="20"/>
      <c r="AFF44" s="20"/>
      <c r="AFG44" s="20"/>
      <c r="AFH44" s="20"/>
      <c r="AFI44" s="20"/>
      <c r="AFJ44" s="20"/>
      <c r="AFK44" s="20"/>
      <c r="AFL44" s="20"/>
      <c r="AFM44" s="20"/>
      <c r="AFN44" s="20"/>
      <c r="AFO44" s="20"/>
      <c r="AFP44" s="20"/>
      <c r="AFQ44" s="20"/>
      <c r="AFR44" s="20"/>
      <c r="AFS44" s="20"/>
      <c r="AFT44" s="20"/>
      <c r="AFU44" s="20"/>
      <c r="AFV44" s="20"/>
      <c r="AFW44" s="20"/>
      <c r="AFX44" s="20"/>
      <c r="AFY44" s="20"/>
      <c r="AFZ44" s="20"/>
      <c r="AGA44" s="20"/>
      <c r="AGB44" s="20"/>
      <c r="AGC44" s="20"/>
      <c r="AGD44" s="20"/>
      <c r="AGE44" s="20"/>
      <c r="AGF44" s="20"/>
      <c r="AGG44" s="20"/>
      <c r="AGH44" s="20"/>
      <c r="AGI44" s="20"/>
      <c r="AGJ44" s="20"/>
      <c r="AGK44" s="20"/>
      <c r="AGL44" s="20"/>
      <c r="AGM44" s="20"/>
      <c r="AGN44" s="20"/>
      <c r="AGO44" s="20"/>
      <c r="AGP44" s="20"/>
      <c r="AGQ44" s="20"/>
      <c r="AGR44" s="20"/>
      <c r="AGS44" s="20"/>
      <c r="AGT44" s="20"/>
      <c r="AGU44" s="20"/>
      <c r="AGV44" s="20"/>
      <c r="AGW44" s="20"/>
      <c r="AGX44" s="20"/>
      <c r="AGY44" s="20"/>
      <c r="AGZ44" s="20"/>
      <c r="AHA44" s="20"/>
      <c r="AHB44" s="20"/>
      <c r="AHC44" s="20"/>
      <c r="AHD44" s="20"/>
      <c r="AHE44" s="20"/>
      <c r="AHF44" s="20"/>
      <c r="AHG44" s="20"/>
      <c r="AHH44" s="20"/>
      <c r="AHI44" s="20"/>
      <c r="AHJ44" s="20"/>
      <c r="AHK44" s="20"/>
      <c r="AHL44" s="20"/>
      <c r="AHM44" s="20"/>
      <c r="AHN44" s="20"/>
      <c r="AHO44" s="20"/>
      <c r="AHP44" s="20"/>
      <c r="AHQ44" s="20"/>
      <c r="AHR44" s="20"/>
      <c r="AHS44" s="20"/>
      <c r="AHT44" s="20"/>
      <c r="AHU44" s="20"/>
      <c r="AHV44" s="20"/>
      <c r="AHW44" s="20"/>
      <c r="AHX44" s="20"/>
      <c r="AHY44" s="20"/>
      <c r="AHZ44" s="20"/>
      <c r="AIA44" s="20"/>
      <c r="AIB44" s="20"/>
      <c r="AIC44" s="20"/>
      <c r="AID44" s="20"/>
      <c r="AIE44" s="20"/>
      <c r="AIF44" s="20"/>
      <c r="AIG44" s="20"/>
      <c r="AIH44" s="20"/>
      <c r="AII44" s="20"/>
      <c r="AIJ44" s="20"/>
      <c r="AIK44" s="20"/>
      <c r="AIL44" s="20"/>
      <c r="AIM44" s="20"/>
      <c r="AIN44" s="20"/>
      <c r="AIO44" s="20"/>
      <c r="AIP44" s="20"/>
      <c r="AIQ44" s="20"/>
      <c r="AIR44" s="20"/>
      <c r="AIS44" s="20"/>
      <c r="AIT44" s="20"/>
      <c r="AIU44" s="20"/>
      <c r="AIV44" s="20"/>
      <c r="AIW44" s="20"/>
      <c r="AIX44" s="20"/>
      <c r="AIY44" s="20"/>
      <c r="AIZ44" s="20"/>
      <c r="AJA44" s="20"/>
      <c r="AJB44" s="20"/>
      <c r="AJC44" s="20"/>
      <c r="AJD44" s="20"/>
      <c r="AJE44" s="20"/>
      <c r="AJF44" s="20"/>
      <c r="AJG44" s="20"/>
      <c r="AJH44" s="20"/>
      <c r="AJI44" s="20"/>
      <c r="AJJ44" s="20"/>
      <c r="AJK44" s="20"/>
      <c r="AJL44" s="20"/>
      <c r="AJM44" s="20"/>
      <c r="AJN44" s="20"/>
      <c r="AJO44" s="20"/>
      <c r="AJP44" s="20"/>
      <c r="AJQ44" s="20"/>
      <c r="AJR44" s="20"/>
      <c r="AJS44" s="20"/>
      <c r="AJT44" s="20"/>
      <c r="AJU44" s="20"/>
      <c r="AJV44" s="20"/>
      <c r="AJW44" s="20"/>
      <c r="AJX44" s="20"/>
      <c r="AJY44" s="20"/>
      <c r="AJZ44" s="20"/>
      <c r="AKA44" s="20"/>
      <c r="AKB44" s="20"/>
      <c r="AKC44" s="20"/>
      <c r="AKD44" s="20"/>
      <c r="AKE44" s="20"/>
      <c r="AKF44" s="20"/>
      <c r="AKG44" s="20"/>
      <c r="AKH44" s="20"/>
      <c r="AKI44" s="20"/>
      <c r="AKJ44" s="20"/>
      <c r="AKK44" s="20"/>
      <c r="AKL44" s="20"/>
      <c r="AKM44" s="20"/>
      <c r="AKN44" s="20"/>
      <c r="AKO44" s="20"/>
      <c r="AKP44" s="20"/>
      <c r="AKQ44" s="20"/>
      <c r="AKR44" s="20"/>
      <c r="AKS44" s="20"/>
      <c r="AKT44" s="20"/>
      <c r="AKU44" s="20"/>
      <c r="AKV44" s="20"/>
      <c r="AKW44" s="20"/>
      <c r="AKX44" s="20"/>
      <c r="AKY44" s="20"/>
      <c r="AKZ44" s="20"/>
      <c r="ALA44" s="20"/>
      <c r="ALB44" s="20"/>
      <c r="ALC44" s="20"/>
      <c r="ALD44" s="20"/>
      <c r="ALE44" s="20"/>
      <c r="ALF44" s="20"/>
      <c r="ALG44" s="20"/>
      <c r="ALH44" s="20"/>
      <c r="ALI44" s="20"/>
      <c r="ALJ44" s="20"/>
      <c r="ALK44" s="20"/>
      <c r="ALL44" s="20"/>
      <c r="ALM44" s="20"/>
      <c r="ALN44" s="20"/>
      <c r="ALO44" s="20"/>
      <c r="ALP44" s="20"/>
      <c r="ALQ44" s="20"/>
      <c r="ALR44" s="20"/>
      <c r="ALS44" s="20"/>
      <c r="ALT44" s="20"/>
      <c r="ALU44" s="20"/>
      <c r="ALV44" s="20"/>
      <c r="ALW44" s="20"/>
      <c r="ALX44" s="20"/>
      <c r="ALY44" s="20"/>
      <c r="ALZ44" s="20"/>
      <c r="AMA44" s="20"/>
      <c r="AMB44" s="20"/>
      <c r="AMC44" s="20"/>
      <c r="AMD44" s="20"/>
      <c r="AME44" s="20"/>
      <c r="AMF44" s="20"/>
      <c r="AMG44" s="20"/>
      <c r="AMH44" s="20"/>
      <c r="AMI44" s="20"/>
      <c r="AMJ44" s="20"/>
      <c r="AMK44" s="20"/>
    </row>
    <row r="45" spans="1:1025" s="21" customFormat="1" ht="12.95" customHeight="1" x14ac:dyDescent="0.25">
      <c r="A45" s="26"/>
      <c r="B45" s="39" t="s">
        <v>224</v>
      </c>
      <c r="C45" s="27">
        <v>30</v>
      </c>
      <c r="D45" s="28">
        <f>5+5.41+6.75</f>
        <v>17.16</v>
      </c>
      <c r="E45" s="28">
        <f>5+7.5+7.5</f>
        <v>20</v>
      </c>
      <c r="F45" s="28">
        <v>5</v>
      </c>
      <c r="G45" s="28">
        <f>1.92+6.75</f>
        <v>8.67</v>
      </c>
      <c r="H45" s="28">
        <f>1.6+1.5+2</f>
        <v>5.0999999999999996</v>
      </c>
      <c r="I45" s="28">
        <v>7.05</v>
      </c>
      <c r="J45" s="28">
        <v>5</v>
      </c>
      <c r="K45" s="28">
        <v>9.75</v>
      </c>
      <c r="L45" s="28">
        <f>0.88+6.75</f>
        <v>7.63</v>
      </c>
      <c r="M45" s="28">
        <f>5.9+6.75</f>
        <v>12.65</v>
      </c>
      <c r="N45" s="28">
        <f>Таблица4[[#This Row],[Столбец13]]+Таблица4[[#This Row],[Столбец12]]+Таблица4[[#This Row],[Столбец11]]+Таблица4[[#This Row],[Столбец10]]+Таблица4[[#This Row],[Столбец9]]+Таблица4[[#This Row],[Столбец8]]+Таблица4[[#This Row],[Столбец7]]+Таблица4[[#This Row],[Столбец6]]+Таблица4[[#This Row],[Столбец5]]+Таблица4[[#This Row],[Столбец4]]</f>
        <v>98.009999999999991</v>
      </c>
      <c r="O45" s="28">
        <f>Таблица4[[#This Row],[Столбец14]]/10</f>
        <v>9.8009999999999984</v>
      </c>
      <c r="P45" s="29">
        <f>O45-C45</f>
        <v>-20.199000000000002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  <c r="ZP45" s="20"/>
      <c r="ZQ45" s="20"/>
      <c r="ZR45" s="20"/>
      <c r="ZS45" s="20"/>
      <c r="ZT45" s="20"/>
      <c r="ZU45" s="20"/>
      <c r="ZV45" s="20"/>
      <c r="ZW45" s="20"/>
      <c r="ZX45" s="20"/>
      <c r="ZY45" s="20"/>
      <c r="ZZ45" s="20"/>
      <c r="AAA45" s="20"/>
      <c r="AAB45" s="20"/>
      <c r="AAC45" s="20"/>
      <c r="AAD45" s="20"/>
      <c r="AAE45" s="20"/>
      <c r="AAF45" s="20"/>
      <c r="AAG45" s="20"/>
      <c r="AAH45" s="20"/>
      <c r="AAI45" s="20"/>
      <c r="AAJ45" s="20"/>
      <c r="AAK45" s="20"/>
      <c r="AAL45" s="20"/>
      <c r="AAM45" s="20"/>
      <c r="AAN45" s="20"/>
      <c r="AAO45" s="20"/>
      <c r="AAP45" s="20"/>
      <c r="AAQ45" s="20"/>
      <c r="AAR45" s="20"/>
      <c r="AAS45" s="20"/>
      <c r="AAT45" s="20"/>
      <c r="AAU45" s="20"/>
      <c r="AAV45" s="20"/>
      <c r="AAW45" s="20"/>
      <c r="AAX45" s="20"/>
      <c r="AAY45" s="20"/>
      <c r="AAZ45" s="20"/>
      <c r="ABA45" s="20"/>
      <c r="ABB45" s="20"/>
      <c r="ABC45" s="20"/>
      <c r="ABD45" s="20"/>
      <c r="ABE45" s="20"/>
      <c r="ABF45" s="20"/>
      <c r="ABG45" s="20"/>
      <c r="ABH45" s="20"/>
      <c r="ABI45" s="20"/>
      <c r="ABJ45" s="20"/>
      <c r="ABK45" s="20"/>
      <c r="ABL45" s="20"/>
      <c r="ABM45" s="20"/>
      <c r="ABN45" s="20"/>
      <c r="ABO45" s="20"/>
      <c r="ABP45" s="20"/>
      <c r="ABQ45" s="20"/>
      <c r="ABR45" s="20"/>
      <c r="ABS45" s="20"/>
      <c r="ABT45" s="20"/>
      <c r="ABU45" s="20"/>
      <c r="ABV45" s="20"/>
      <c r="ABW45" s="20"/>
      <c r="ABX45" s="20"/>
      <c r="ABY45" s="20"/>
      <c r="ABZ45" s="20"/>
      <c r="ACA45" s="20"/>
      <c r="ACB45" s="20"/>
      <c r="ACC45" s="20"/>
      <c r="ACD45" s="20"/>
      <c r="ACE45" s="20"/>
      <c r="ACF45" s="20"/>
      <c r="ACG45" s="20"/>
      <c r="ACH45" s="20"/>
      <c r="ACI45" s="20"/>
      <c r="ACJ45" s="20"/>
      <c r="ACK45" s="20"/>
      <c r="ACL45" s="20"/>
      <c r="ACM45" s="20"/>
      <c r="ACN45" s="20"/>
      <c r="ACO45" s="20"/>
      <c r="ACP45" s="20"/>
      <c r="ACQ45" s="20"/>
      <c r="ACR45" s="20"/>
      <c r="ACS45" s="20"/>
      <c r="ACT45" s="20"/>
      <c r="ACU45" s="20"/>
      <c r="ACV45" s="20"/>
      <c r="ACW45" s="20"/>
      <c r="ACX45" s="20"/>
      <c r="ACY45" s="20"/>
      <c r="ACZ45" s="20"/>
      <c r="ADA45" s="20"/>
      <c r="ADB45" s="20"/>
      <c r="ADC45" s="20"/>
      <c r="ADD45" s="20"/>
      <c r="ADE45" s="20"/>
      <c r="ADF45" s="20"/>
      <c r="ADG45" s="20"/>
      <c r="ADH45" s="20"/>
      <c r="ADI45" s="20"/>
      <c r="ADJ45" s="20"/>
      <c r="ADK45" s="20"/>
      <c r="ADL45" s="20"/>
      <c r="ADM45" s="20"/>
      <c r="ADN45" s="20"/>
      <c r="ADO45" s="20"/>
      <c r="ADP45" s="20"/>
      <c r="ADQ45" s="20"/>
      <c r="ADR45" s="20"/>
      <c r="ADS45" s="20"/>
      <c r="ADT45" s="20"/>
      <c r="ADU45" s="20"/>
      <c r="ADV45" s="20"/>
      <c r="ADW45" s="20"/>
      <c r="ADX45" s="20"/>
      <c r="ADY45" s="20"/>
      <c r="ADZ45" s="20"/>
      <c r="AEA45" s="20"/>
      <c r="AEB45" s="20"/>
      <c r="AEC45" s="20"/>
      <c r="AED45" s="20"/>
      <c r="AEE45" s="20"/>
      <c r="AEF45" s="20"/>
      <c r="AEG45" s="20"/>
      <c r="AEH45" s="20"/>
      <c r="AEI45" s="20"/>
      <c r="AEJ45" s="20"/>
      <c r="AEK45" s="20"/>
      <c r="AEL45" s="20"/>
      <c r="AEM45" s="20"/>
      <c r="AEN45" s="20"/>
      <c r="AEO45" s="20"/>
      <c r="AEP45" s="20"/>
      <c r="AEQ45" s="20"/>
      <c r="AER45" s="20"/>
      <c r="AES45" s="20"/>
      <c r="AET45" s="20"/>
      <c r="AEU45" s="20"/>
      <c r="AEV45" s="20"/>
      <c r="AEW45" s="20"/>
      <c r="AEX45" s="20"/>
      <c r="AEY45" s="20"/>
      <c r="AEZ45" s="20"/>
      <c r="AFA45" s="20"/>
      <c r="AFB45" s="20"/>
      <c r="AFC45" s="20"/>
      <c r="AFD45" s="20"/>
      <c r="AFE45" s="20"/>
      <c r="AFF45" s="20"/>
      <c r="AFG45" s="20"/>
      <c r="AFH45" s="20"/>
      <c r="AFI45" s="20"/>
      <c r="AFJ45" s="20"/>
      <c r="AFK45" s="20"/>
      <c r="AFL45" s="20"/>
      <c r="AFM45" s="20"/>
      <c r="AFN45" s="20"/>
      <c r="AFO45" s="20"/>
      <c r="AFP45" s="20"/>
      <c r="AFQ45" s="20"/>
      <c r="AFR45" s="20"/>
      <c r="AFS45" s="20"/>
      <c r="AFT45" s="20"/>
      <c r="AFU45" s="20"/>
      <c r="AFV45" s="20"/>
      <c r="AFW45" s="20"/>
      <c r="AFX45" s="20"/>
      <c r="AFY45" s="20"/>
      <c r="AFZ45" s="20"/>
      <c r="AGA45" s="20"/>
      <c r="AGB45" s="20"/>
      <c r="AGC45" s="20"/>
      <c r="AGD45" s="20"/>
      <c r="AGE45" s="20"/>
      <c r="AGF45" s="20"/>
      <c r="AGG45" s="20"/>
      <c r="AGH45" s="20"/>
      <c r="AGI45" s="20"/>
      <c r="AGJ45" s="20"/>
      <c r="AGK45" s="20"/>
      <c r="AGL45" s="20"/>
      <c r="AGM45" s="20"/>
      <c r="AGN45" s="20"/>
      <c r="AGO45" s="20"/>
      <c r="AGP45" s="20"/>
      <c r="AGQ45" s="20"/>
      <c r="AGR45" s="20"/>
      <c r="AGS45" s="20"/>
      <c r="AGT45" s="20"/>
      <c r="AGU45" s="20"/>
      <c r="AGV45" s="20"/>
      <c r="AGW45" s="20"/>
      <c r="AGX45" s="20"/>
      <c r="AGY45" s="20"/>
      <c r="AGZ45" s="20"/>
      <c r="AHA45" s="20"/>
      <c r="AHB45" s="20"/>
      <c r="AHC45" s="20"/>
      <c r="AHD45" s="20"/>
      <c r="AHE45" s="20"/>
      <c r="AHF45" s="20"/>
      <c r="AHG45" s="20"/>
      <c r="AHH45" s="20"/>
      <c r="AHI45" s="20"/>
      <c r="AHJ45" s="20"/>
      <c r="AHK45" s="20"/>
      <c r="AHL45" s="20"/>
      <c r="AHM45" s="20"/>
      <c r="AHN45" s="20"/>
      <c r="AHO45" s="20"/>
      <c r="AHP45" s="20"/>
      <c r="AHQ45" s="20"/>
      <c r="AHR45" s="20"/>
      <c r="AHS45" s="20"/>
      <c r="AHT45" s="20"/>
      <c r="AHU45" s="20"/>
      <c r="AHV45" s="20"/>
      <c r="AHW45" s="20"/>
      <c r="AHX45" s="20"/>
      <c r="AHY45" s="20"/>
      <c r="AHZ45" s="20"/>
      <c r="AIA45" s="20"/>
      <c r="AIB45" s="20"/>
      <c r="AIC45" s="20"/>
      <c r="AID45" s="20"/>
      <c r="AIE45" s="20"/>
      <c r="AIF45" s="20"/>
      <c r="AIG45" s="20"/>
      <c r="AIH45" s="20"/>
      <c r="AII45" s="20"/>
      <c r="AIJ45" s="20"/>
      <c r="AIK45" s="20"/>
      <c r="AIL45" s="20"/>
      <c r="AIM45" s="20"/>
      <c r="AIN45" s="20"/>
      <c r="AIO45" s="20"/>
      <c r="AIP45" s="20"/>
      <c r="AIQ45" s="20"/>
      <c r="AIR45" s="20"/>
      <c r="AIS45" s="20"/>
      <c r="AIT45" s="20"/>
      <c r="AIU45" s="20"/>
      <c r="AIV45" s="20"/>
      <c r="AIW45" s="20"/>
      <c r="AIX45" s="20"/>
      <c r="AIY45" s="20"/>
      <c r="AIZ45" s="20"/>
      <c r="AJA45" s="20"/>
      <c r="AJB45" s="20"/>
      <c r="AJC45" s="20"/>
      <c r="AJD45" s="20"/>
      <c r="AJE45" s="20"/>
      <c r="AJF45" s="20"/>
      <c r="AJG45" s="20"/>
      <c r="AJH45" s="20"/>
      <c r="AJI45" s="20"/>
      <c r="AJJ45" s="20"/>
      <c r="AJK45" s="20"/>
      <c r="AJL45" s="20"/>
      <c r="AJM45" s="20"/>
      <c r="AJN45" s="20"/>
      <c r="AJO45" s="20"/>
      <c r="AJP45" s="20"/>
      <c r="AJQ45" s="20"/>
      <c r="AJR45" s="20"/>
      <c r="AJS45" s="20"/>
      <c r="AJT45" s="20"/>
      <c r="AJU45" s="20"/>
      <c r="AJV45" s="20"/>
      <c r="AJW45" s="20"/>
      <c r="AJX45" s="20"/>
      <c r="AJY45" s="20"/>
      <c r="AJZ45" s="20"/>
      <c r="AKA45" s="20"/>
      <c r="AKB45" s="20"/>
      <c r="AKC45" s="20"/>
      <c r="AKD45" s="20"/>
      <c r="AKE45" s="20"/>
      <c r="AKF45" s="20"/>
      <c r="AKG45" s="20"/>
      <c r="AKH45" s="20"/>
      <c r="AKI45" s="20"/>
      <c r="AKJ45" s="20"/>
      <c r="AKK45" s="20"/>
      <c r="AKL45" s="20"/>
      <c r="AKM45" s="20"/>
      <c r="AKN45" s="20"/>
      <c r="AKO45" s="20"/>
      <c r="AKP45" s="20"/>
      <c r="AKQ45" s="20"/>
      <c r="AKR45" s="20"/>
      <c r="AKS45" s="20"/>
      <c r="AKT45" s="20"/>
      <c r="AKU45" s="20"/>
      <c r="AKV45" s="20"/>
      <c r="AKW45" s="20"/>
      <c r="AKX45" s="20"/>
      <c r="AKY45" s="20"/>
      <c r="AKZ45" s="20"/>
      <c r="ALA45" s="20"/>
      <c r="ALB45" s="20"/>
      <c r="ALC45" s="20"/>
      <c r="ALD45" s="20"/>
      <c r="ALE45" s="20"/>
      <c r="ALF45" s="20"/>
      <c r="ALG45" s="20"/>
      <c r="ALH45" s="20"/>
      <c r="ALI45" s="20"/>
      <c r="ALJ45" s="20"/>
      <c r="ALK45" s="20"/>
      <c r="ALL45" s="20"/>
      <c r="ALM45" s="20"/>
      <c r="ALN45" s="20"/>
      <c r="ALO45" s="20"/>
      <c r="ALP45" s="20"/>
      <c r="ALQ45" s="20"/>
      <c r="ALR45" s="20"/>
      <c r="ALS45" s="20"/>
      <c r="ALT45" s="20"/>
      <c r="ALU45" s="20"/>
      <c r="ALV45" s="20"/>
      <c r="ALW45" s="20"/>
      <c r="ALX45" s="20"/>
      <c r="ALY45" s="20"/>
      <c r="ALZ45" s="20"/>
      <c r="AMA45" s="20"/>
      <c r="AMB45" s="20"/>
      <c r="AMC45" s="20"/>
      <c r="AMD45" s="20"/>
      <c r="AME45" s="20"/>
      <c r="AMF45" s="20"/>
      <c r="AMG45" s="20"/>
      <c r="AMH45" s="20"/>
      <c r="AMI45" s="20"/>
      <c r="AMJ45" s="20"/>
      <c r="AMK45" s="20"/>
    </row>
    <row r="46" spans="1:1025" s="21" customFormat="1" ht="12.95" customHeight="1" x14ac:dyDescent="0.25">
      <c r="A46" s="22">
        <v>21</v>
      </c>
      <c r="B46" s="38" t="s">
        <v>228</v>
      </c>
      <c r="C46" s="23">
        <v>15</v>
      </c>
      <c r="D46" s="24">
        <v>5</v>
      </c>
      <c r="E46" s="24">
        <f>1.2+3.6+5+7</f>
        <v>16.8</v>
      </c>
      <c r="F46" s="24">
        <f>3.6+2.5+7.86</f>
        <v>13.96</v>
      </c>
      <c r="G46" s="24">
        <f>2+3.6+2.5+3.8+4</f>
        <v>15.899999999999999</v>
      </c>
      <c r="H46" s="24">
        <f>3.6+2.28</f>
        <v>5.88</v>
      </c>
      <c r="I46" s="24">
        <f>1.46+3.6+5</f>
        <v>10.06</v>
      </c>
      <c r="J46" s="24">
        <f>3.6+5+7.3</f>
        <v>15.899999999999999</v>
      </c>
      <c r="K46" s="24">
        <v>8.51</v>
      </c>
      <c r="L46" s="24">
        <f>3.6+5</f>
        <v>8.6</v>
      </c>
      <c r="M46" s="24">
        <v>16.2</v>
      </c>
      <c r="N46" s="24">
        <f t="shared" si="3"/>
        <v>116.81</v>
      </c>
      <c r="O46" s="24">
        <f t="shared" si="1"/>
        <v>11.681000000000001</v>
      </c>
      <c r="P46" s="25">
        <f t="shared" si="2"/>
        <v>-3.3189999999999991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  <c r="AMH46" s="20"/>
      <c r="AMI46" s="20"/>
      <c r="AMJ46" s="20"/>
      <c r="AMK46" s="20"/>
    </row>
    <row r="47" spans="1:1025" s="21" customFormat="1" ht="12.95" customHeight="1" x14ac:dyDescent="0.25">
      <c r="A47" s="26"/>
      <c r="B47" s="39" t="s">
        <v>228</v>
      </c>
      <c r="C47" s="27">
        <v>15</v>
      </c>
      <c r="D47" s="28">
        <v>3.6</v>
      </c>
      <c r="E47" s="28">
        <v>3.6</v>
      </c>
      <c r="F47" s="28">
        <f>5+8.51</f>
        <v>13.51</v>
      </c>
      <c r="G47" s="28">
        <f>3.6+2.5+1.6</f>
        <v>7.6999999999999993</v>
      </c>
      <c r="H47" s="28">
        <f>3.6+5+6</f>
        <v>14.6</v>
      </c>
      <c r="I47" s="28">
        <f>5+2.28</f>
        <v>7.2799999999999994</v>
      </c>
      <c r="J47" s="28">
        <f>3.6+5+9.2</f>
        <v>17.799999999999997</v>
      </c>
      <c r="K47" s="28">
        <f>2.5+1.6</f>
        <v>4.0999999999999996</v>
      </c>
      <c r="L47" s="28">
        <f>3.6+2.5</f>
        <v>6.1</v>
      </c>
      <c r="M47" s="28">
        <v>8</v>
      </c>
      <c r="N47" s="28">
        <f>Таблица4[[#This Row],[Столбец13]]+Таблица4[[#This Row],[Столбец12]]+Таблица4[[#This Row],[Столбец11]]+Таблица4[[#This Row],[Столбец10]]+Таблица4[[#This Row],[Столбец9]]+Таблица4[[#This Row],[Столбец8]]+Таблица4[[#This Row],[Столбец7]]+Таблица4[[#This Row],[Столбец6]]+Таблица4[[#This Row],[Столбец5]]+Таблица4[[#This Row],[Столбец4]]</f>
        <v>86.289999999999992</v>
      </c>
      <c r="O47" s="28">
        <f>Таблица4[[#This Row],[Столбец14]]/10</f>
        <v>8.6289999999999996</v>
      </c>
      <c r="P47" s="29">
        <f>O47-C47</f>
        <v>-6.3710000000000004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0"/>
      <c r="OM47" s="20"/>
      <c r="ON47" s="20"/>
      <c r="OO47" s="20"/>
      <c r="OP47" s="20"/>
      <c r="OQ47" s="20"/>
      <c r="OR47" s="20"/>
      <c r="OS47" s="20"/>
      <c r="OT47" s="20"/>
      <c r="OU47" s="20"/>
      <c r="OV47" s="20"/>
      <c r="OW47" s="20"/>
      <c r="OX47" s="20"/>
      <c r="OY47" s="20"/>
      <c r="OZ47" s="20"/>
      <c r="PA47" s="20"/>
      <c r="PB47" s="20"/>
      <c r="PC47" s="20"/>
      <c r="PD47" s="20"/>
      <c r="PE47" s="20"/>
      <c r="PF47" s="20"/>
      <c r="PG47" s="20"/>
      <c r="PH47" s="20"/>
      <c r="PI47" s="20"/>
      <c r="PJ47" s="20"/>
      <c r="PK47" s="20"/>
      <c r="PL47" s="20"/>
      <c r="PM47" s="20"/>
      <c r="PN47" s="20"/>
      <c r="PO47" s="20"/>
      <c r="PP47" s="20"/>
      <c r="PQ47" s="20"/>
      <c r="PR47" s="20"/>
      <c r="PS47" s="20"/>
      <c r="PT47" s="20"/>
      <c r="PU47" s="20"/>
      <c r="PV47" s="20"/>
      <c r="PW47" s="20"/>
      <c r="PX47" s="20"/>
      <c r="PY47" s="20"/>
      <c r="PZ47" s="20"/>
      <c r="QA47" s="20"/>
      <c r="QB47" s="20"/>
      <c r="QC47" s="20"/>
      <c r="QD47" s="20"/>
      <c r="QE47" s="20"/>
      <c r="QF47" s="20"/>
      <c r="QG47" s="20"/>
      <c r="QH47" s="20"/>
      <c r="QI47" s="20"/>
      <c r="QJ47" s="20"/>
      <c r="QK47" s="20"/>
      <c r="QL47" s="20"/>
      <c r="QM47" s="20"/>
      <c r="QN47" s="20"/>
      <c r="QO47" s="20"/>
      <c r="QP47" s="20"/>
      <c r="QQ47" s="20"/>
      <c r="QR47" s="20"/>
      <c r="QS47" s="20"/>
      <c r="QT47" s="20"/>
      <c r="QU47" s="20"/>
      <c r="QV47" s="20"/>
      <c r="QW47" s="20"/>
      <c r="QX47" s="20"/>
      <c r="QY47" s="20"/>
      <c r="QZ47" s="20"/>
      <c r="RA47" s="20"/>
      <c r="RB47" s="20"/>
      <c r="RC47" s="20"/>
      <c r="RD47" s="20"/>
      <c r="RE47" s="20"/>
      <c r="RF47" s="20"/>
      <c r="RG47" s="20"/>
      <c r="RH47" s="20"/>
      <c r="RI47" s="20"/>
      <c r="RJ47" s="20"/>
      <c r="RK47" s="20"/>
      <c r="RL47" s="20"/>
      <c r="RM47" s="20"/>
      <c r="RN47" s="20"/>
      <c r="RO47" s="20"/>
      <c r="RP47" s="20"/>
      <c r="RQ47" s="20"/>
      <c r="RR47" s="20"/>
      <c r="RS47" s="20"/>
      <c r="RT47" s="20"/>
      <c r="RU47" s="20"/>
      <c r="RV47" s="20"/>
      <c r="RW47" s="20"/>
      <c r="RX47" s="20"/>
      <c r="RY47" s="20"/>
      <c r="RZ47" s="20"/>
      <c r="SA47" s="20"/>
      <c r="SB47" s="20"/>
      <c r="SC47" s="20"/>
      <c r="SD47" s="20"/>
      <c r="SE47" s="20"/>
      <c r="SF47" s="20"/>
      <c r="SG47" s="20"/>
      <c r="SH47" s="20"/>
      <c r="SI47" s="20"/>
      <c r="SJ47" s="20"/>
      <c r="SK47" s="20"/>
      <c r="SL47" s="20"/>
      <c r="SM47" s="20"/>
      <c r="SN47" s="20"/>
      <c r="SO47" s="20"/>
      <c r="SP47" s="20"/>
      <c r="SQ47" s="20"/>
      <c r="SR47" s="20"/>
      <c r="SS47" s="20"/>
      <c r="ST47" s="20"/>
      <c r="SU47" s="20"/>
      <c r="SV47" s="20"/>
      <c r="SW47" s="20"/>
      <c r="SX47" s="20"/>
      <c r="SY47" s="20"/>
      <c r="SZ47" s="20"/>
      <c r="TA47" s="20"/>
      <c r="TB47" s="20"/>
      <c r="TC47" s="20"/>
      <c r="TD47" s="20"/>
      <c r="TE47" s="20"/>
      <c r="TF47" s="20"/>
      <c r="TG47" s="20"/>
      <c r="TH47" s="20"/>
      <c r="TI47" s="20"/>
      <c r="TJ47" s="20"/>
      <c r="TK47" s="20"/>
      <c r="TL47" s="20"/>
      <c r="TM47" s="20"/>
      <c r="TN47" s="20"/>
      <c r="TO47" s="20"/>
      <c r="TP47" s="20"/>
      <c r="TQ47" s="20"/>
      <c r="TR47" s="20"/>
      <c r="TS47" s="20"/>
      <c r="TT47" s="20"/>
      <c r="TU47" s="20"/>
      <c r="TV47" s="20"/>
      <c r="TW47" s="20"/>
      <c r="TX47" s="20"/>
      <c r="TY47" s="20"/>
      <c r="TZ47" s="20"/>
      <c r="UA47" s="20"/>
      <c r="UB47" s="20"/>
      <c r="UC47" s="20"/>
      <c r="UD47" s="20"/>
      <c r="UE47" s="20"/>
      <c r="UF47" s="20"/>
      <c r="UG47" s="20"/>
      <c r="UH47" s="20"/>
      <c r="UI47" s="20"/>
      <c r="UJ47" s="20"/>
      <c r="UK47" s="20"/>
      <c r="UL47" s="20"/>
      <c r="UM47" s="20"/>
      <c r="UN47" s="20"/>
      <c r="UO47" s="20"/>
      <c r="UP47" s="20"/>
      <c r="UQ47" s="20"/>
      <c r="UR47" s="20"/>
      <c r="US47" s="20"/>
      <c r="UT47" s="20"/>
      <c r="UU47" s="20"/>
      <c r="UV47" s="20"/>
      <c r="UW47" s="20"/>
      <c r="UX47" s="20"/>
      <c r="UY47" s="20"/>
      <c r="UZ47" s="20"/>
      <c r="VA47" s="20"/>
      <c r="VB47" s="20"/>
      <c r="VC47" s="20"/>
      <c r="VD47" s="20"/>
      <c r="VE47" s="20"/>
      <c r="VF47" s="20"/>
      <c r="VG47" s="20"/>
      <c r="VH47" s="20"/>
      <c r="VI47" s="20"/>
      <c r="VJ47" s="20"/>
      <c r="VK47" s="20"/>
      <c r="VL47" s="20"/>
      <c r="VM47" s="20"/>
      <c r="VN47" s="20"/>
      <c r="VO47" s="20"/>
      <c r="VP47" s="20"/>
      <c r="VQ47" s="20"/>
      <c r="VR47" s="20"/>
      <c r="VS47" s="20"/>
      <c r="VT47" s="20"/>
      <c r="VU47" s="20"/>
      <c r="VV47" s="20"/>
      <c r="VW47" s="20"/>
      <c r="VX47" s="20"/>
      <c r="VY47" s="20"/>
      <c r="VZ47" s="20"/>
      <c r="WA47" s="20"/>
      <c r="WB47" s="20"/>
      <c r="WC47" s="20"/>
      <c r="WD47" s="20"/>
      <c r="WE47" s="20"/>
      <c r="WF47" s="20"/>
      <c r="WG47" s="20"/>
      <c r="WH47" s="20"/>
      <c r="WI47" s="20"/>
      <c r="WJ47" s="20"/>
      <c r="WK47" s="20"/>
      <c r="WL47" s="20"/>
      <c r="WM47" s="20"/>
      <c r="WN47" s="20"/>
      <c r="WO47" s="20"/>
      <c r="WP47" s="20"/>
      <c r="WQ47" s="20"/>
      <c r="WR47" s="20"/>
      <c r="WS47" s="20"/>
      <c r="WT47" s="20"/>
      <c r="WU47" s="20"/>
      <c r="WV47" s="20"/>
      <c r="WW47" s="20"/>
      <c r="WX47" s="20"/>
      <c r="WY47" s="20"/>
      <c r="WZ47" s="20"/>
      <c r="XA47" s="20"/>
      <c r="XB47" s="20"/>
      <c r="XC47" s="20"/>
      <c r="XD47" s="20"/>
      <c r="XE47" s="20"/>
      <c r="XF47" s="20"/>
      <c r="XG47" s="20"/>
      <c r="XH47" s="20"/>
      <c r="XI47" s="20"/>
      <c r="XJ47" s="20"/>
      <c r="XK47" s="20"/>
      <c r="XL47" s="20"/>
      <c r="XM47" s="20"/>
      <c r="XN47" s="20"/>
      <c r="XO47" s="20"/>
      <c r="XP47" s="20"/>
      <c r="XQ47" s="20"/>
      <c r="XR47" s="20"/>
      <c r="XS47" s="20"/>
      <c r="XT47" s="20"/>
      <c r="XU47" s="20"/>
      <c r="XV47" s="20"/>
      <c r="XW47" s="20"/>
      <c r="XX47" s="20"/>
      <c r="XY47" s="20"/>
      <c r="XZ47" s="20"/>
      <c r="YA47" s="20"/>
      <c r="YB47" s="20"/>
      <c r="YC47" s="20"/>
      <c r="YD47" s="20"/>
      <c r="YE47" s="20"/>
      <c r="YF47" s="20"/>
      <c r="YG47" s="20"/>
      <c r="YH47" s="20"/>
      <c r="YI47" s="20"/>
      <c r="YJ47" s="20"/>
      <c r="YK47" s="20"/>
      <c r="YL47" s="20"/>
      <c r="YM47" s="20"/>
      <c r="YN47" s="20"/>
      <c r="YO47" s="20"/>
      <c r="YP47" s="20"/>
      <c r="YQ47" s="20"/>
      <c r="YR47" s="20"/>
      <c r="YS47" s="20"/>
      <c r="YT47" s="20"/>
      <c r="YU47" s="20"/>
      <c r="YV47" s="20"/>
      <c r="YW47" s="20"/>
      <c r="YX47" s="20"/>
      <c r="YY47" s="20"/>
      <c r="YZ47" s="20"/>
      <c r="ZA47" s="20"/>
      <c r="ZB47" s="20"/>
      <c r="ZC47" s="20"/>
      <c r="ZD47" s="20"/>
      <c r="ZE47" s="20"/>
      <c r="ZF47" s="20"/>
      <c r="ZG47" s="20"/>
      <c r="ZH47" s="20"/>
      <c r="ZI47" s="20"/>
      <c r="ZJ47" s="20"/>
      <c r="ZK47" s="20"/>
      <c r="ZL47" s="20"/>
      <c r="ZM47" s="20"/>
      <c r="ZN47" s="20"/>
      <c r="ZO47" s="20"/>
      <c r="ZP47" s="20"/>
      <c r="ZQ47" s="20"/>
      <c r="ZR47" s="20"/>
      <c r="ZS47" s="20"/>
      <c r="ZT47" s="20"/>
      <c r="ZU47" s="20"/>
      <c r="ZV47" s="20"/>
      <c r="ZW47" s="20"/>
      <c r="ZX47" s="20"/>
      <c r="ZY47" s="20"/>
      <c r="ZZ47" s="20"/>
      <c r="AAA47" s="20"/>
      <c r="AAB47" s="20"/>
      <c r="AAC47" s="20"/>
      <c r="AAD47" s="20"/>
      <c r="AAE47" s="20"/>
      <c r="AAF47" s="20"/>
      <c r="AAG47" s="20"/>
      <c r="AAH47" s="20"/>
      <c r="AAI47" s="20"/>
      <c r="AAJ47" s="20"/>
      <c r="AAK47" s="20"/>
      <c r="AAL47" s="20"/>
      <c r="AAM47" s="20"/>
      <c r="AAN47" s="20"/>
      <c r="AAO47" s="20"/>
      <c r="AAP47" s="20"/>
      <c r="AAQ47" s="20"/>
      <c r="AAR47" s="20"/>
      <c r="AAS47" s="20"/>
      <c r="AAT47" s="20"/>
      <c r="AAU47" s="20"/>
      <c r="AAV47" s="20"/>
      <c r="AAW47" s="20"/>
      <c r="AAX47" s="20"/>
      <c r="AAY47" s="20"/>
      <c r="AAZ47" s="20"/>
      <c r="ABA47" s="20"/>
      <c r="ABB47" s="20"/>
      <c r="ABC47" s="20"/>
      <c r="ABD47" s="20"/>
      <c r="ABE47" s="20"/>
      <c r="ABF47" s="20"/>
      <c r="ABG47" s="20"/>
      <c r="ABH47" s="20"/>
      <c r="ABI47" s="20"/>
      <c r="ABJ47" s="20"/>
      <c r="ABK47" s="20"/>
      <c r="ABL47" s="20"/>
      <c r="ABM47" s="20"/>
      <c r="ABN47" s="20"/>
      <c r="ABO47" s="20"/>
      <c r="ABP47" s="20"/>
      <c r="ABQ47" s="20"/>
      <c r="ABR47" s="20"/>
      <c r="ABS47" s="20"/>
      <c r="ABT47" s="20"/>
      <c r="ABU47" s="20"/>
      <c r="ABV47" s="20"/>
      <c r="ABW47" s="20"/>
      <c r="ABX47" s="20"/>
      <c r="ABY47" s="20"/>
      <c r="ABZ47" s="20"/>
      <c r="ACA47" s="20"/>
      <c r="ACB47" s="20"/>
      <c r="ACC47" s="20"/>
      <c r="ACD47" s="20"/>
      <c r="ACE47" s="20"/>
      <c r="ACF47" s="20"/>
      <c r="ACG47" s="20"/>
      <c r="ACH47" s="20"/>
      <c r="ACI47" s="20"/>
      <c r="ACJ47" s="20"/>
      <c r="ACK47" s="20"/>
      <c r="ACL47" s="20"/>
      <c r="ACM47" s="20"/>
      <c r="ACN47" s="20"/>
      <c r="ACO47" s="20"/>
      <c r="ACP47" s="20"/>
      <c r="ACQ47" s="20"/>
      <c r="ACR47" s="20"/>
      <c r="ACS47" s="20"/>
      <c r="ACT47" s="20"/>
      <c r="ACU47" s="20"/>
      <c r="ACV47" s="20"/>
      <c r="ACW47" s="20"/>
      <c r="ACX47" s="20"/>
      <c r="ACY47" s="20"/>
      <c r="ACZ47" s="20"/>
      <c r="ADA47" s="20"/>
      <c r="ADB47" s="20"/>
      <c r="ADC47" s="20"/>
      <c r="ADD47" s="20"/>
      <c r="ADE47" s="20"/>
      <c r="ADF47" s="20"/>
      <c r="ADG47" s="20"/>
      <c r="ADH47" s="20"/>
      <c r="ADI47" s="20"/>
      <c r="ADJ47" s="20"/>
      <c r="ADK47" s="20"/>
      <c r="ADL47" s="20"/>
      <c r="ADM47" s="20"/>
      <c r="ADN47" s="20"/>
      <c r="ADO47" s="20"/>
      <c r="ADP47" s="20"/>
      <c r="ADQ47" s="20"/>
      <c r="ADR47" s="20"/>
      <c r="ADS47" s="20"/>
      <c r="ADT47" s="20"/>
      <c r="ADU47" s="20"/>
      <c r="ADV47" s="20"/>
      <c r="ADW47" s="20"/>
      <c r="ADX47" s="20"/>
      <c r="ADY47" s="20"/>
      <c r="ADZ47" s="20"/>
      <c r="AEA47" s="20"/>
      <c r="AEB47" s="20"/>
      <c r="AEC47" s="20"/>
      <c r="AED47" s="20"/>
      <c r="AEE47" s="20"/>
      <c r="AEF47" s="20"/>
      <c r="AEG47" s="20"/>
      <c r="AEH47" s="20"/>
      <c r="AEI47" s="20"/>
      <c r="AEJ47" s="20"/>
      <c r="AEK47" s="20"/>
      <c r="AEL47" s="20"/>
      <c r="AEM47" s="20"/>
      <c r="AEN47" s="20"/>
      <c r="AEO47" s="20"/>
      <c r="AEP47" s="20"/>
      <c r="AEQ47" s="20"/>
      <c r="AER47" s="20"/>
      <c r="AES47" s="20"/>
      <c r="AET47" s="20"/>
      <c r="AEU47" s="20"/>
      <c r="AEV47" s="20"/>
      <c r="AEW47" s="20"/>
      <c r="AEX47" s="20"/>
      <c r="AEY47" s="20"/>
      <c r="AEZ47" s="20"/>
      <c r="AFA47" s="20"/>
      <c r="AFB47" s="20"/>
      <c r="AFC47" s="20"/>
      <c r="AFD47" s="20"/>
      <c r="AFE47" s="20"/>
      <c r="AFF47" s="20"/>
      <c r="AFG47" s="20"/>
      <c r="AFH47" s="20"/>
      <c r="AFI47" s="20"/>
      <c r="AFJ47" s="20"/>
      <c r="AFK47" s="20"/>
      <c r="AFL47" s="20"/>
      <c r="AFM47" s="20"/>
      <c r="AFN47" s="20"/>
      <c r="AFO47" s="20"/>
      <c r="AFP47" s="20"/>
      <c r="AFQ47" s="20"/>
      <c r="AFR47" s="20"/>
      <c r="AFS47" s="20"/>
      <c r="AFT47" s="20"/>
      <c r="AFU47" s="20"/>
      <c r="AFV47" s="20"/>
      <c r="AFW47" s="20"/>
      <c r="AFX47" s="20"/>
      <c r="AFY47" s="20"/>
      <c r="AFZ47" s="20"/>
      <c r="AGA47" s="20"/>
      <c r="AGB47" s="20"/>
      <c r="AGC47" s="20"/>
      <c r="AGD47" s="20"/>
      <c r="AGE47" s="20"/>
      <c r="AGF47" s="20"/>
      <c r="AGG47" s="20"/>
      <c r="AGH47" s="20"/>
      <c r="AGI47" s="20"/>
      <c r="AGJ47" s="20"/>
      <c r="AGK47" s="20"/>
      <c r="AGL47" s="20"/>
      <c r="AGM47" s="20"/>
      <c r="AGN47" s="20"/>
      <c r="AGO47" s="20"/>
      <c r="AGP47" s="20"/>
      <c r="AGQ47" s="20"/>
      <c r="AGR47" s="20"/>
      <c r="AGS47" s="20"/>
      <c r="AGT47" s="20"/>
      <c r="AGU47" s="20"/>
      <c r="AGV47" s="20"/>
      <c r="AGW47" s="20"/>
      <c r="AGX47" s="20"/>
      <c r="AGY47" s="20"/>
      <c r="AGZ47" s="20"/>
      <c r="AHA47" s="20"/>
      <c r="AHB47" s="20"/>
      <c r="AHC47" s="20"/>
      <c r="AHD47" s="20"/>
      <c r="AHE47" s="20"/>
      <c r="AHF47" s="20"/>
      <c r="AHG47" s="20"/>
      <c r="AHH47" s="20"/>
      <c r="AHI47" s="20"/>
      <c r="AHJ47" s="20"/>
      <c r="AHK47" s="20"/>
      <c r="AHL47" s="20"/>
      <c r="AHM47" s="20"/>
      <c r="AHN47" s="20"/>
      <c r="AHO47" s="20"/>
      <c r="AHP47" s="20"/>
      <c r="AHQ47" s="20"/>
      <c r="AHR47" s="20"/>
      <c r="AHS47" s="20"/>
      <c r="AHT47" s="20"/>
      <c r="AHU47" s="20"/>
      <c r="AHV47" s="20"/>
      <c r="AHW47" s="20"/>
      <c r="AHX47" s="20"/>
      <c r="AHY47" s="20"/>
      <c r="AHZ47" s="20"/>
      <c r="AIA47" s="20"/>
      <c r="AIB47" s="20"/>
      <c r="AIC47" s="20"/>
      <c r="AID47" s="20"/>
      <c r="AIE47" s="20"/>
      <c r="AIF47" s="20"/>
      <c r="AIG47" s="20"/>
      <c r="AIH47" s="20"/>
      <c r="AII47" s="20"/>
      <c r="AIJ47" s="20"/>
      <c r="AIK47" s="20"/>
      <c r="AIL47" s="20"/>
      <c r="AIM47" s="20"/>
      <c r="AIN47" s="20"/>
      <c r="AIO47" s="20"/>
      <c r="AIP47" s="20"/>
      <c r="AIQ47" s="20"/>
      <c r="AIR47" s="20"/>
      <c r="AIS47" s="20"/>
      <c r="AIT47" s="20"/>
      <c r="AIU47" s="20"/>
      <c r="AIV47" s="20"/>
      <c r="AIW47" s="20"/>
      <c r="AIX47" s="20"/>
      <c r="AIY47" s="20"/>
      <c r="AIZ47" s="20"/>
      <c r="AJA47" s="20"/>
      <c r="AJB47" s="20"/>
      <c r="AJC47" s="20"/>
      <c r="AJD47" s="20"/>
      <c r="AJE47" s="20"/>
      <c r="AJF47" s="20"/>
      <c r="AJG47" s="20"/>
      <c r="AJH47" s="20"/>
      <c r="AJI47" s="20"/>
      <c r="AJJ47" s="20"/>
      <c r="AJK47" s="20"/>
      <c r="AJL47" s="20"/>
      <c r="AJM47" s="20"/>
      <c r="AJN47" s="20"/>
      <c r="AJO47" s="20"/>
      <c r="AJP47" s="20"/>
      <c r="AJQ47" s="20"/>
      <c r="AJR47" s="20"/>
      <c r="AJS47" s="20"/>
      <c r="AJT47" s="20"/>
      <c r="AJU47" s="20"/>
      <c r="AJV47" s="20"/>
      <c r="AJW47" s="20"/>
      <c r="AJX47" s="20"/>
      <c r="AJY47" s="20"/>
      <c r="AJZ47" s="20"/>
      <c r="AKA47" s="20"/>
      <c r="AKB47" s="20"/>
      <c r="AKC47" s="20"/>
      <c r="AKD47" s="20"/>
      <c r="AKE47" s="20"/>
      <c r="AKF47" s="20"/>
      <c r="AKG47" s="20"/>
      <c r="AKH47" s="20"/>
      <c r="AKI47" s="20"/>
      <c r="AKJ47" s="20"/>
      <c r="AKK47" s="20"/>
      <c r="AKL47" s="20"/>
      <c r="AKM47" s="20"/>
      <c r="AKN47" s="20"/>
      <c r="AKO47" s="20"/>
      <c r="AKP47" s="20"/>
      <c r="AKQ47" s="20"/>
      <c r="AKR47" s="20"/>
      <c r="AKS47" s="20"/>
      <c r="AKT47" s="20"/>
      <c r="AKU47" s="20"/>
      <c r="AKV47" s="20"/>
      <c r="AKW47" s="20"/>
      <c r="AKX47" s="20"/>
      <c r="AKY47" s="20"/>
      <c r="AKZ47" s="20"/>
      <c r="ALA47" s="20"/>
      <c r="ALB47" s="20"/>
      <c r="ALC47" s="20"/>
      <c r="ALD47" s="20"/>
      <c r="ALE47" s="20"/>
      <c r="ALF47" s="20"/>
      <c r="ALG47" s="20"/>
      <c r="ALH47" s="20"/>
      <c r="ALI47" s="20"/>
      <c r="ALJ47" s="20"/>
      <c r="ALK47" s="20"/>
      <c r="ALL47" s="20"/>
      <c r="ALM47" s="20"/>
      <c r="ALN47" s="20"/>
      <c r="ALO47" s="20"/>
      <c r="ALP47" s="20"/>
      <c r="ALQ47" s="20"/>
      <c r="ALR47" s="20"/>
      <c r="ALS47" s="20"/>
      <c r="ALT47" s="20"/>
      <c r="ALU47" s="20"/>
      <c r="ALV47" s="20"/>
      <c r="ALW47" s="20"/>
      <c r="ALX47" s="20"/>
      <c r="ALY47" s="20"/>
      <c r="ALZ47" s="20"/>
      <c r="AMA47" s="20"/>
      <c r="AMB47" s="20"/>
      <c r="AMC47" s="20"/>
      <c r="AMD47" s="20"/>
      <c r="AME47" s="20"/>
      <c r="AMF47" s="20"/>
      <c r="AMG47" s="20"/>
      <c r="AMH47" s="20"/>
      <c r="AMI47" s="20"/>
      <c r="AMJ47" s="20"/>
      <c r="AMK47" s="20"/>
    </row>
    <row r="48" spans="1:1025" s="21" customFormat="1" ht="12.95" customHeight="1" x14ac:dyDescent="0.25">
      <c r="A48" s="22">
        <v>22</v>
      </c>
      <c r="B48" s="38" t="s">
        <v>262</v>
      </c>
      <c r="C48" s="23">
        <v>40</v>
      </c>
      <c r="D48" s="24"/>
      <c r="E48" s="24"/>
      <c r="F48" s="24">
        <f>4.6+2.2</f>
        <v>6.8</v>
      </c>
      <c r="G48" s="24">
        <v>80</v>
      </c>
      <c r="H48" s="24">
        <v>40</v>
      </c>
      <c r="I48" s="24">
        <f>15.2+2.45</f>
        <v>17.649999999999999</v>
      </c>
      <c r="J48" s="24">
        <v>0</v>
      </c>
      <c r="K48" s="24">
        <v>4</v>
      </c>
      <c r="L48" s="24">
        <v>11.84</v>
      </c>
      <c r="M48" s="24"/>
      <c r="N48" s="24">
        <f t="shared" si="3"/>
        <v>160.29</v>
      </c>
      <c r="O48" s="24">
        <f t="shared" si="1"/>
        <v>16.029</v>
      </c>
      <c r="P48" s="25">
        <f t="shared" si="2"/>
        <v>-23.971</v>
      </c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  <c r="IW48" s="20"/>
      <c r="IX48" s="20"/>
      <c r="IY48" s="20"/>
      <c r="IZ48" s="20"/>
      <c r="JA48" s="20"/>
      <c r="JB48" s="20"/>
      <c r="JC48" s="20"/>
      <c r="JD48" s="20"/>
      <c r="JE48" s="20"/>
      <c r="JF48" s="20"/>
      <c r="JG48" s="20"/>
      <c r="JH48" s="20"/>
      <c r="JI48" s="20"/>
      <c r="JJ48" s="20"/>
      <c r="JK48" s="20"/>
      <c r="JL48" s="20"/>
      <c r="JM48" s="20"/>
      <c r="JN48" s="20"/>
      <c r="JO48" s="20"/>
      <c r="JP48" s="20"/>
      <c r="JQ48" s="20"/>
      <c r="JR48" s="20"/>
      <c r="JS48" s="20"/>
      <c r="JT48" s="20"/>
      <c r="JU48" s="20"/>
      <c r="JV48" s="20"/>
      <c r="JW48" s="20"/>
      <c r="JX48" s="20"/>
      <c r="JY48" s="20"/>
      <c r="JZ48" s="20"/>
      <c r="KA48" s="20"/>
      <c r="KB48" s="20"/>
      <c r="KC48" s="20"/>
      <c r="KD48" s="20"/>
      <c r="KE48" s="20"/>
      <c r="KF48" s="20"/>
      <c r="KG48" s="20"/>
      <c r="KH48" s="20"/>
      <c r="KI48" s="20"/>
      <c r="KJ48" s="20"/>
      <c r="KK48" s="20"/>
      <c r="KL48" s="20"/>
      <c r="KM48" s="20"/>
      <c r="KN48" s="20"/>
      <c r="KO48" s="20"/>
      <c r="KP48" s="20"/>
      <c r="KQ48" s="20"/>
      <c r="KR48" s="20"/>
      <c r="KS48" s="20"/>
      <c r="KT48" s="20"/>
      <c r="KU48" s="20"/>
      <c r="KV48" s="20"/>
      <c r="KW48" s="20"/>
      <c r="KX48" s="20"/>
      <c r="KY48" s="20"/>
      <c r="KZ48" s="20"/>
      <c r="LA48" s="20"/>
      <c r="LB48" s="20"/>
      <c r="LC48" s="20"/>
      <c r="LD48" s="20"/>
      <c r="LE48" s="20"/>
      <c r="LF48" s="20"/>
      <c r="LG48" s="20"/>
      <c r="LH48" s="20"/>
      <c r="LI48" s="20"/>
      <c r="LJ48" s="20"/>
      <c r="LK48" s="20"/>
      <c r="LL48" s="20"/>
      <c r="LM48" s="20"/>
      <c r="LN48" s="20"/>
      <c r="LO48" s="20"/>
      <c r="LP48" s="20"/>
      <c r="LQ48" s="20"/>
      <c r="LR48" s="20"/>
      <c r="LS48" s="20"/>
      <c r="LT48" s="20"/>
      <c r="LU48" s="20"/>
      <c r="LV48" s="20"/>
      <c r="LW48" s="20"/>
      <c r="LX48" s="20"/>
      <c r="LY48" s="20"/>
      <c r="LZ48" s="20"/>
      <c r="MA48" s="20"/>
      <c r="MB48" s="20"/>
      <c r="MC48" s="20"/>
      <c r="MD48" s="20"/>
      <c r="ME48" s="20"/>
      <c r="MF48" s="20"/>
      <c r="MG48" s="20"/>
      <c r="MH48" s="20"/>
      <c r="MI48" s="20"/>
      <c r="MJ48" s="20"/>
      <c r="MK48" s="20"/>
      <c r="ML48" s="20"/>
      <c r="MM48" s="20"/>
      <c r="MN48" s="20"/>
      <c r="MO48" s="20"/>
      <c r="MP48" s="20"/>
      <c r="MQ48" s="20"/>
      <c r="MR48" s="20"/>
      <c r="MS48" s="20"/>
      <c r="MT48" s="20"/>
      <c r="MU48" s="20"/>
      <c r="MV48" s="20"/>
      <c r="MW48" s="20"/>
      <c r="MX48" s="20"/>
      <c r="MY48" s="20"/>
      <c r="MZ48" s="20"/>
      <c r="NA48" s="20"/>
      <c r="NB48" s="20"/>
      <c r="NC48" s="20"/>
      <c r="ND48" s="20"/>
      <c r="NE48" s="20"/>
      <c r="NF48" s="20"/>
      <c r="NG48" s="20"/>
      <c r="NH48" s="20"/>
      <c r="NI48" s="20"/>
      <c r="NJ48" s="20"/>
      <c r="NK48" s="20"/>
      <c r="NL48" s="20"/>
      <c r="NM48" s="20"/>
      <c r="NN48" s="20"/>
      <c r="NO48" s="20"/>
      <c r="NP48" s="20"/>
      <c r="NQ48" s="20"/>
      <c r="NR48" s="20"/>
      <c r="NS48" s="20"/>
      <c r="NT48" s="20"/>
      <c r="NU48" s="20"/>
      <c r="NV48" s="20"/>
      <c r="NW48" s="20"/>
      <c r="NX48" s="20"/>
      <c r="NY48" s="20"/>
      <c r="NZ48" s="20"/>
      <c r="OA48" s="20"/>
      <c r="OB48" s="20"/>
      <c r="OC48" s="20"/>
      <c r="OD48" s="20"/>
      <c r="OE48" s="20"/>
      <c r="OF48" s="20"/>
      <c r="OG48" s="20"/>
      <c r="OH48" s="20"/>
      <c r="OI48" s="20"/>
      <c r="OJ48" s="20"/>
      <c r="OK48" s="20"/>
      <c r="OL48" s="20"/>
      <c r="OM48" s="20"/>
      <c r="ON48" s="20"/>
      <c r="OO48" s="20"/>
      <c r="OP48" s="20"/>
      <c r="OQ48" s="20"/>
      <c r="OR48" s="20"/>
      <c r="OS48" s="20"/>
      <c r="OT48" s="20"/>
      <c r="OU48" s="20"/>
      <c r="OV48" s="20"/>
      <c r="OW48" s="20"/>
      <c r="OX48" s="20"/>
      <c r="OY48" s="20"/>
      <c r="OZ48" s="20"/>
      <c r="PA48" s="20"/>
      <c r="PB48" s="20"/>
      <c r="PC48" s="20"/>
      <c r="PD48" s="20"/>
      <c r="PE48" s="20"/>
      <c r="PF48" s="20"/>
      <c r="PG48" s="20"/>
      <c r="PH48" s="20"/>
      <c r="PI48" s="20"/>
      <c r="PJ48" s="20"/>
      <c r="PK48" s="20"/>
      <c r="PL48" s="20"/>
      <c r="PM48" s="20"/>
      <c r="PN48" s="20"/>
      <c r="PO48" s="20"/>
      <c r="PP48" s="20"/>
      <c r="PQ48" s="20"/>
      <c r="PR48" s="20"/>
      <c r="PS48" s="20"/>
      <c r="PT48" s="20"/>
      <c r="PU48" s="20"/>
      <c r="PV48" s="20"/>
      <c r="PW48" s="20"/>
      <c r="PX48" s="20"/>
      <c r="PY48" s="20"/>
      <c r="PZ48" s="20"/>
      <c r="QA48" s="20"/>
      <c r="QB48" s="20"/>
      <c r="QC48" s="20"/>
      <c r="QD48" s="20"/>
      <c r="QE48" s="20"/>
      <c r="QF48" s="20"/>
      <c r="QG48" s="20"/>
      <c r="QH48" s="20"/>
      <c r="QI48" s="20"/>
      <c r="QJ48" s="20"/>
      <c r="QK48" s="20"/>
      <c r="QL48" s="20"/>
      <c r="QM48" s="20"/>
      <c r="QN48" s="20"/>
      <c r="QO48" s="20"/>
      <c r="QP48" s="20"/>
      <c r="QQ48" s="20"/>
      <c r="QR48" s="20"/>
      <c r="QS48" s="20"/>
      <c r="QT48" s="20"/>
      <c r="QU48" s="20"/>
      <c r="QV48" s="20"/>
      <c r="QW48" s="20"/>
      <c r="QX48" s="20"/>
      <c r="QY48" s="20"/>
      <c r="QZ48" s="20"/>
      <c r="RA48" s="20"/>
      <c r="RB48" s="20"/>
      <c r="RC48" s="20"/>
      <c r="RD48" s="20"/>
      <c r="RE48" s="20"/>
      <c r="RF48" s="20"/>
      <c r="RG48" s="20"/>
      <c r="RH48" s="20"/>
      <c r="RI48" s="20"/>
      <c r="RJ48" s="20"/>
      <c r="RK48" s="20"/>
      <c r="RL48" s="20"/>
      <c r="RM48" s="20"/>
      <c r="RN48" s="20"/>
      <c r="RO48" s="20"/>
      <c r="RP48" s="20"/>
      <c r="RQ48" s="20"/>
      <c r="RR48" s="20"/>
      <c r="RS48" s="20"/>
      <c r="RT48" s="20"/>
      <c r="RU48" s="20"/>
      <c r="RV48" s="20"/>
      <c r="RW48" s="20"/>
      <c r="RX48" s="20"/>
      <c r="RY48" s="20"/>
      <c r="RZ48" s="20"/>
      <c r="SA48" s="20"/>
      <c r="SB48" s="20"/>
      <c r="SC48" s="20"/>
      <c r="SD48" s="20"/>
      <c r="SE48" s="20"/>
      <c r="SF48" s="20"/>
      <c r="SG48" s="20"/>
      <c r="SH48" s="20"/>
      <c r="SI48" s="20"/>
      <c r="SJ48" s="20"/>
      <c r="SK48" s="20"/>
      <c r="SL48" s="20"/>
      <c r="SM48" s="20"/>
      <c r="SN48" s="20"/>
      <c r="SO48" s="20"/>
      <c r="SP48" s="20"/>
      <c r="SQ48" s="20"/>
      <c r="SR48" s="20"/>
      <c r="SS48" s="20"/>
      <c r="ST48" s="20"/>
      <c r="SU48" s="20"/>
      <c r="SV48" s="20"/>
      <c r="SW48" s="20"/>
      <c r="SX48" s="20"/>
      <c r="SY48" s="20"/>
      <c r="SZ48" s="20"/>
      <c r="TA48" s="20"/>
      <c r="TB48" s="20"/>
      <c r="TC48" s="20"/>
      <c r="TD48" s="20"/>
      <c r="TE48" s="20"/>
      <c r="TF48" s="20"/>
      <c r="TG48" s="20"/>
      <c r="TH48" s="20"/>
      <c r="TI48" s="20"/>
      <c r="TJ48" s="20"/>
      <c r="TK48" s="20"/>
      <c r="TL48" s="20"/>
      <c r="TM48" s="20"/>
      <c r="TN48" s="20"/>
      <c r="TO48" s="20"/>
      <c r="TP48" s="20"/>
      <c r="TQ48" s="20"/>
      <c r="TR48" s="20"/>
      <c r="TS48" s="20"/>
      <c r="TT48" s="20"/>
      <c r="TU48" s="20"/>
      <c r="TV48" s="20"/>
      <c r="TW48" s="20"/>
      <c r="TX48" s="20"/>
      <c r="TY48" s="20"/>
      <c r="TZ48" s="20"/>
      <c r="UA48" s="20"/>
      <c r="UB48" s="20"/>
      <c r="UC48" s="20"/>
      <c r="UD48" s="20"/>
      <c r="UE48" s="20"/>
      <c r="UF48" s="20"/>
      <c r="UG48" s="20"/>
      <c r="UH48" s="20"/>
      <c r="UI48" s="20"/>
      <c r="UJ48" s="20"/>
      <c r="UK48" s="20"/>
      <c r="UL48" s="20"/>
      <c r="UM48" s="20"/>
      <c r="UN48" s="20"/>
      <c r="UO48" s="20"/>
      <c r="UP48" s="20"/>
      <c r="UQ48" s="20"/>
      <c r="UR48" s="20"/>
      <c r="US48" s="20"/>
      <c r="UT48" s="20"/>
      <c r="UU48" s="20"/>
      <c r="UV48" s="20"/>
      <c r="UW48" s="20"/>
      <c r="UX48" s="20"/>
      <c r="UY48" s="20"/>
      <c r="UZ48" s="20"/>
      <c r="VA48" s="20"/>
      <c r="VB48" s="20"/>
      <c r="VC48" s="20"/>
      <c r="VD48" s="20"/>
      <c r="VE48" s="20"/>
      <c r="VF48" s="20"/>
      <c r="VG48" s="20"/>
      <c r="VH48" s="20"/>
      <c r="VI48" s="20"/>
      <c r="VJ48" s="20"/>
      <c r="VK48" s="20"/>
      <c r="VL48" s="20"/>
      <c r="VM48" s="20"/>
      <c r="VN48" s="20"/>
      <c r="VO48" s="20"/>
      <c r="VP48" s="20"/>
      <c r="VQ48" s="20"/>
      <c r="VR48" s="20"/>
      <c r="VS48" s="20"/>
      <c r="VT48" s="20"/>
      <c r="VU48" s="20"/>
      <c r="VV48" s="20"/>
      <c r="VW48" s="20"/>
      <c r="VX48" s="20"/>
      <c r="VY48" s="20"/>
      <c r="VZ48" s="20"/>
      <c r="WA48" s="20"/>
      <c r="WB48" s="20"/>
      <c r="WC48" s="20"/>
      <c r="WD48" s="20"/>
      <c r="WE48" s="20"/>
      <c r="WF48" s="20"/>
      <c r="WG48" s="20"/>
      <c r="WH48" s="20"/>
      <c r="WI48" s="20"/>
      <c r="WJ48" s="20"/>
      <c r="WK48" s="20"/>
      <c r="WL48" s="20"/>
      <c r="WM48" s="20"/>
      <c r="WN48" s="20"/>
      <c r="WO48" s="20"/>
      <c r="WP48" s="20"/>
      <c r="WQ48" s="20"/>
      <c r="WR48" s="20"/>
      <c r="WS48" s="20"/>
      <c r="WT48" s="20"/>
      <c r="WU48" s="20"/>
      <c r="WV48" s="20"/>
      <c r="WW48" s="20"/>
      <c r="WX48" s="20"/>
      <c r="WY48" s="20"/>
      <c r="WZ48" s="20"/>
      <c r="XA48" s="20"/>
      <c r="XB48" s="20"/>
      <c r="XC48" s="20"/>
      <c r="XD48" s="20"/>
      <c r="XE48" s="20"/>
      <c r="XF48" s="20"/>
      <c r="XG48" s="20"/>
      <c r="XH48" s="20"/>
      <c r="XI48" s="20"/>
      <c r="XJ48" s="20"/>
      <c r="XK48" s="20"/>
      <c r="XL48" s="20"/>
      <c r="XM48" s="20"/>
      <c r="XN48" s="20"/>
      <c r="XO48" s="20"/>
      <c r="XP48" s="20"/>
      <c r="XQ48" s="20"/>
      <c r="XR48" s="20"/>
      <c r="XS48" s="20"/>
      <c r="XT48" s="20"/>
      <c r="XU48" s="20"/>
      <c r="XV48" s="20"/>
      <c r="XW48" s="20"/>
      <c r="XX48" s="20"/>
      <c r="XY48" s="20"/>
      <c r="XZ48" s="20"/>
      <c r="YA48" s="20"/>
      <c r="YB48" s="20"/>
      <c r="YC48" s="20"/>
      <c r="YD48" s="20"/>
      <c r="YE48" s="20"/>
      <c r="YF48" s="20"/>
      <c r="YG48" s="20"/>
      <c r="YH48" s="20"/>
      <c r="YI48" s="20"/>
      <c r="YJ48" s="20"/>
      <c r="YK48" s="20"/>
      <c r="YL48" s="20"/>
      <c r="YM48" s="20"/>
      <c r="YN48" s="20"/>
      <c r="YO48" s="20"/>
      <c r="YP48" s="20"/>
      <c r="YQ48" s="20"/>
      <c r="YR48" s="20"/>
      <c r="YS48" s="20"/>
      <c r="YT48" s="20"/>
      <c r="YU48" s="20"/>
      <c r="YV48" s="20"/>
      <c r="YW48" s="20"/>
      <c r="YX48" s="20"/>
      <c r="YY48" s="20"/>
      <c r="YZ48" s="20"/>
      <c r="ZA48" s="20"/>
      <c r="ZB48" s="20"/>
      <c r="ZC48" s="20"/>
      <c r="ZD48" s="20"/>
      <c r="ZE48" s="20"/>
      <c r="ZF48" s="20"/>
      <c r="ZG48" s="20"/>
      <c r="ZH48" s="20"/>
      <c r="ZI48" s="20"/>
      <c r="ZJ48" s="20"/>
      <c r="ZK48" s="20"/>
      <c r="ZL48" s="20"/>
      <c r="ZM48" s="20"/>
      <c r="ZN48" s="20"/>
      <c r="ZO48" s="20"/>
      <c r="ZP48" s="20"/>
      <c r="ZQ48" s="20"/>
      <c r="ZR48" s="20"/>
      <c r="ZS48" s="20"/>
      <c r="ZT48" s="20"/>
      <c r="ZU48" s="20"/>
      <c r="ZV48" s="20"/>
      <c r="ZW48" s="20"/>
      <c r="ZX48" s="20"/>
      <c r="ZY48" s="20"/>
      <c r="ZZ48" s="20"/>
      <c r="AAA48" s="20"/>
      <c r="AAB48" s="20"/>
      <c r="AAC48" s="20"/>
      <c r="AAD48" s="20"/>
      <c r="AAE48" s="20"/>
      <c r="AAF48" s="20"/>
      <c r="AAG48" s="20"/>
      <c r="AAH48" s="20"/>
      <c r="AAI48" s="20"/>
      <c r="AAJ48" s="20"/>
      <c r="AAK48" s="20"/>
      <c r="AAL48" s="20"/>
      <c r="AAM48" s="20"/>
      <c r="AAN48" s="20"/>
      <c r="AAO48" s="20"/>
      <c r="AAP48" s="20"/>
      <c r="AAQ48" s="20"/>
      <c r="AAR48" s="20"/>
      <c r="AAS48" s="20"/>
      <c r="AAT48" s="20"/>
      <c r="AAU48" s="20"/>
      <c r="AAV48" s="20"/>
      <c r="AAW48" s="20"/>
      <c r="AAX48" s="20"/>
      <c r="AAY48" s="20"/>
      <c r="AAZ48" s="20"/>
      <c r="ABA48" s="20"/>
      <c r="ABB48" s="20"/>
      <c r="ABC48" s="20"/>
      <c r="ABD48" s="20"/>
      <c r="ABE48" s="20"/>
      <c r="ABF48" s="20"/>
      <c r="ABG48" s="20"/>
      <c r="ABH48" s="20"/>
      <c r="ABI48" s="20"/>
      <c r="ABJ48" s="20"/>
      <c r="ABK48" s="20"/>
      <c r="ABL48" s="20"/>
      <c r="ABM48" s="20"/>
      <c r="ABN48" s="20"/>
      <c r="ABO48" s="20"/>
      <c r="ABP48" s="20"/>
      <c r="ABQ48" s="20"/>
      <c r="ABR48" s="20"/>
      <c r="ABS48" s="20"/>
      <c r="ABT48" s="20"/>
      <c r="ABU48" s="20"/>
      <c r="ABV48" s="20"/>
      <c r="ABW48" s="20"/>
      <c r="ABX48" s="20"/>
      <c r="ABY48" s="20"/>
      <c r="ABZ48" s="20"/>
      <c r="ACA48" s="20"/>
      <c r="ACB48" s="20"/>
      <c r="ACC48" s="20"/>
      <c r="ACD48" s="20"/>
      <c r="ACE48" s="20"/>
      <c r="ACF48" s="20"/>
      <c r="ACG48" s="20"/>
      <c r="ACH48" s="20"/>
      <c r="ACI48" s="20"/>
      <c r="ACJ48" s="20"/>
      <c r="ACK48" s="20"/>
      <c r="ACL48" s="20"/>
      <c r="ACM48" s="20"/>
      <c r="ACN48" s="20"/>
      <c r="ACO48" s="20"/>
      <c r="ACP48" s="20"/>
      <c r="ACQ48" s="20"/>
      <c r="ACR48" s="20"/>
      <c r="ACS48" s="20"/>
      <c r="ACT48" s="20"/>
      <c r="ACU48" s="20"/>
      <c r="ACV48" s="20"/>
      <c r="ACW48" s="20"/>
      <c r="ACX48" s="20"/>
      <c r="ACY48" s="20"/>
      <c r="ACZ48" s="20"/>
      <c r="ADA48" s="20"/>
      <c r="ADB48" s="20"/>
      <c r="ADC48" s="20"/>
      <c r="ADD48" s="20"/>
      <c r="ADE48" s="20"/>
      <c r="ADF48" s="20"/>
      <c r="ADG48" s="20"/>
      <c r="ADH48" s="20"/>
      <c r="ADI48" s="20"/>
      <c r="ADJ48" s="20"/>
      <c r="ADK48" s="20"/>
      <c r="ADL48" s="20"/>
      <c r="ADM48" s="20"/>
      <c r="ADN48" s="20"/>
      <c r="ADO48" s="20"/>
      <c r="ADP48" s="20"/>
      <c r="ADQ48" s="20"/>
      <c r="ADR48" s="20"/>
      <c r="ADS48" s="20"/>
      <c r="ADT48" s="20"/>
      <c r="ADU48" s="20"/>
      <c r="ADV48" s="20"/>
      <c r="ADW48" s="20"/>
      <c r="ADX48" s="20"/>
      <c r="ADY48" s="20"/>
      <c r="ADZ48" s="20"/>
      <c r="AEA48" s="20"/>
      <c r="AEB48" s="20"/>
      <c r="AEC48" s="20"/>
      <c r="AED48" s="20"/>
      <c r="AEE48" s="20"/>
      <c r="AEF48" s="20"/>
      <c r="AEG48" s="20"/>
      <c r="AEH48" s="20"/>
      <c r="AEI48" s="20"/>
      <c r="AEJ48" s="20"/>
      <c r="AEK48" s="20"/>
      <c r="AEL48" s="20"/>
      <c r="AEM48" s="20"/>
      <c r="AEN48" s="20"/>
      <c r="AEO48" s="20"/>
      <c r="AEP48" s="20"/>
      <c r="AEQ48" s="20"/>
      <c r="AER48" s="20"/>
      <c r="AES48" s="20"/>
      <c r="AET48" s="20"/>
      <c r="AEU48" s="20"/>
      <c r="AEV48" s="20"/>
      <c r="AEW48" s="20"/>
      <c r="AEX48" s="20"/>
      <c r="AEY48" s="20"/>
      <c r="AEZ48" s="20"/>
      <c r="AFA48" s="20"/>
      <c r="AFB48" s="20"/>
      <c r="AFC48" s="20"/>
      <c r="AFD48" s="20"/>
      <c r="AFE48" s="20"/>
      <c r="AFF48" s="20"/>
      <c r="AFG48" s="20"/>
      <c r="AFH48" s="20"/>
      <c r="AFI48" s="20"/>
      <c r="AFJ48" s="20"/>
      <c r="AFK48" s="20"/>
      <c r="AFL48" s="20"/>
      <c r="AFM48" s="20"/>
      <c r="AFN48" s="20"/>
      <c r="AFO48" s="20"/>
      <c r="AFP48" s="20"/>
      <c r="AFQ48" s="20"/>
      <c r="AFR48" s="20"/>
      <c r="AFS48" s="20"/>
      <c r="AFT48" s="20"/>
      <c r="AFU48" s="20"/>
      <c r="AFV48" s="20"/>
      <c r="AFW48" s="20"/>
      <c r="AFX48" s="20"/>
      <c r="AFY48" s="20"/>
      <c r="AFZ48" s="20"/>
      <c r="AGA48" s="20"/>
      <c r="AGB48" s="20"/>
      <c r="AGC48" s="20"/>
      <c r="AGD48" s="20"/>
      <c r="AGE48" s="20"/>
      <c r="AGF48" s="20"/>
      <c r="AGG48" s="20"/>
      <c r="AGH48" s="20"/>
      <c r="AGI48" s="20"/>
      <c r="AGJ48" s="20"/>
      <c r="AGK48" s="20"/>
      <c r="AGL48" s="20"/>
      <c r="AGM48" s="20"/>
      <c r="AGN48" s="20"/>
      <c r="AGO48" s="20"/>
      <c r="AGP48" s="20"/>
      <c r="AGQ48" s="20"/>
      <c r="AGR48" s="20"/>
      <c r="AGS48" s="20"/>
      <c r="AGT48" s="20"/>
      <c r="AGU48" s="20"/>
      <c r="AGV48" s="20"/>
      <c r="AGW48" s="20"/>
      <c r="AGX48" s="20"/>
      <c r="AGY48" s="20"/>
      <c r="AGZ48" s="20"/>
      <c r="AHA48" s="20"/>
      <c r="AHB48" s="20"/>
      <c r="AHC48" s="20"/>
      <c r="AHD48" s="20"/>
      <c r="AHE48" s="20"/>
      <c r="AHF48" s="20"/>
      <c r="AHG48" s="20"/>
      <c r="AHH48" s="20"/>
      <c r="AHI48" s="20"/>
      <c r="AHJ48" s="20"/>
      <c r="AHK48" s="20"/>
      <c r="AHL48" s="20"/>
      <c r="AHM48" s="20"/>
      <c r="AHN48" s="20"/>
      <c r="AHO48" s="20"/>
      <c r="AHP48" s="20"/>
      <c r="AHQ48" s="20"/>
      <c r="AHR48" s="20"/>
      <c r="AHS48" s="20"/>
      <c r="AHT48" s="20"/>
      <c r="AHU48" s="20"/>
      <c r="AHV48" s="20"/>
      <c r="AHW48" s="20"/>
      <c r="AHX48" s="20"/>
      <c r="AHY48" s="20"/>
      <c r="AHZ48" s="20"/>
      <c r="AIA48" s="20"/>
      <c r="AIB48" s="20"/>
      <c r="AIC48" s="20"/>
      <c r="AID48" s="20"/>
      <c r="AIE48" s="20"/>
      <c r="AIF48" s="20"/>
      <c r="AIG48" s="20"/>
      <c r="AIH48" s="20"/>
      <c r="AII48" s="20"/>
      <c r="AIJ48" s="20"/>
      <c r="AIK48" s="20"/>
      <c r="AIL48" s="20"/>
      <c r="AIM48" s="20"/>
      <c r="AIN48" s="20"/>
      <c r="AIO48" s="20"/>
      <c r="AIP48" s="20"/>
      <c r="AIQ48" s="20"/>
      <c r="AIR48" s="20"/>
      <c r="AIS48" s="20"/>
      <c r="AIT48" s="20"/>
      <c r="AIU48" s="20"/>
      <c r="AIV48" s="20"/>
      <c r="AIW48" s="20"/>
      <c r="AIX48" s="20"/>
      <c r="AIY48" s="20"/>
      <c r="AIZ48" s="20"/>
      <c r="AJA48" s="20"/>
      <c r="AJB48" s="20"/>
      <c r="AJC48" s="20"/>
      <c r="AJD48" s="20"/>
      <c r="AJE48" s="20"/>
      <c r="AJF48" s="20"/>
      <c r="AJG48" s="20"/>
      <c r="AJH48" s="20"/>
      <c r="AJI48" s="20"/>
      <c r="AJJ48" s="20"/>
      <c r="AJK48" s="20"/>
      <c r="AJL48" s="20"/>
      <c r="AJM48" s="20"/>
      <c r="AJN48" s="20"/>
      <c r="AJO48" s="20"/>
      <c r="AJP48" s="20"/>
      <c r="AJQ48" s="20"/>
      <c r="AJR48" s="20"/>
      <c r="AJS48" s="20"/>
      <c r="AJT48" s="20"/>
      <c r="AJU48" s="20"/>
      <c r="AJV48" s="20"/>
      <c r="AJW48" s="20"/>
      <c r="AJX48" s="20"/>
      <c r="AJY48" s="20"/>
      <c r="AJZ48" s="20"/>
      <c r="AKA48" s="20"/>
      <c r="AKB48" s="20"/>
      <c r="AKC48" s="20"/>
      <c r="AKD48" s="20"/>
      <c r="AKE48" s="20"/>
      <c r="AKF48" s="20"/>
      <c r="AKG48" s="20"/>
      <c r="AKH48" s="20"/>
      <c r="AKI48" s="20"/>
      <c r="AKJ48" s="20"/>
      <c r="AKK48" s="20"/>
      <c r="AKL48" s="20"/>
      <c r="AKM48" s="20"/>
      <c r="AKN48" s="20"/>
      <c r="AKO48" s="20"/>
      <c r="AKP48" s="20"/>
      <c r="AKQ48" s="20"/>
      <c r="AKR48" s="20"/>
      <c r="AKS48" s="20"/>
      <c r="AKT48" s="20"/>
      <c r="AKU48" s="20"/>
      <c r="AKV48" s="20"/>
      <c r="AKW48" s="20"/>
      <c r="AKX48" s="20"/>
      <c r="AKY48" s="20"/>
      <c r="AKZ48" s="20"/>
      <c r="ALA48" s="20"/>
      <c r="ALB48" s="20"/>
      <c r="ALC48" s="20"/>
      <c r="ALD48" s="20"/>
      <c r="ALE48" s="20"/>
      <c r="ALF48" s="20"/>
      <c r="ALG48" s="20"/>
      <c r="ALH48" s="20"/>
      <c r="ALI48" s="20"/>
      <c r="ALJ48" s="20"/>
      <c r="ALK48" s="20"/>
      <c r="ALL48" s="20"/>
      <c r="ALM48" s="20"/>
      <c r="ALN48" s="20"/>
      <c r="ALO48" s="20"/>
      <c r="ALP48" s="20"/>
      <c r="ALQ48" s="20"/>
      <c r="ALR48" s="20"/>
      <c r="ALS48" s="20"/>
      <c r="ALT48" s="20"/>
      <c r="ALU48" s="20"/>
      <c r="ALV48" s="20"/>
      <c r="ALW48" s="20"/>
      <c r="ALX48" s="20"/>
      <c r="ALY48" s="20"/>
      <c r="ALZ48" s="20"/>
      <c r="AMA48" s="20"/>
      <c r="AMB48" s="20"/>
      <c r="AMC48" s="20"/>
      <c r="AMD48" s="20"/>
      <c r="AME48" s="20"/>
      <c r="AMF48" s="20"/>
      <c r="AMG48" s="20"/>
      <c r="AMH48" s="20"/>
      <c r="AMI48" s="20"/>
      <c r="AMJ48" s="20"/>
      <c r="AMK48" s="20"/>
    </row>
    <row r="49" spans="1:1025" s="21" customFormat="1" ht="12.95" customHeight="1" x14ac:dyDescent="0.25">
      <c r="A49" s="26"/>
      <c r="B49" s="38" t="s">
        <v>262</v>
      </c>
      <c r="C49" s="27">
        <v>40</v>
      </c>
      <c r="D49" s="28"/>
      <c r="E49" s="28"/>
      <c r="F49" s="28">
        <v>3</v>
      </c>
      <c r="G49" s="28">
        <f>2.01+14</f>
        <v>16.009999999999998</v>
      </c>
      <c r="H49" s="28">
        <f>5.28+4.99</f>
        <v>10.27</v>
      </c>
      <c r="I49" s="28">
        <v>0</v>
      </c>
      <c r="J49" s="28">
        <v>5</v>
      </c>
      <c r="K49" s="28">
        <v>9.0399999999999991</v>
      </c>
      <c r="L49" s="28">
        <v>2.2000000000000002</v>
      </c>
      <c r="M49" s="28"/>
      <c r="N49" s="28">
        <f>Таблица4[[#This Row],[Столбец12]]+Таблица4[[#This Row],[Столбец11]]+Таблица4[[#This Row],[Столбец10]]+Таблица4[[#This Row],[Столбец8]]+Таблица4[[#This Row],[Столбец7]]+Таблица4[[#This Row],[Столбец6]]</f>
        <v>45.519999999999996</v>
      </c>
      <c r="O49" s="28">
        <f>Таблица4[[#This Row],[Столбец14]]/10</f>
        <v>4.5519999999999996</v>
      </c>
      <c r="P49" s="29">
        <f>O49-C49</f>
        <v>-35.448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20"/>
      <c r="MJ49" s="20"/>
      <c r="MK49" s="20"/>
      <c r="ML49" s="20"/>
      <c r="MM49" s="20"/>
      <c r="MN49" s="20"/>
      <c r="MO49" s="20"/>
      <c r="MP49" s="20"/>
      <c r="MQ49" s="20"/>
      <c r="MR49" s="20"/>
      <c r="MS49" s="20"/>
      <c r="MT49" s="20"/>
      <c r="MU49" s="20"/>
      <c r="MV49" s="20"/>
      <c r="MW49" s="20"/>
      <c r="MX49" s="20"/>
      <c r="MY49" s="20"/>
      <c r="MZ49" s="20"/>
      <c r="NA49" s="20"/>
      <c r="NB49" s="20"/>
      <c r="NC49" s="20"/>
      <c r="ND49" s="20"/>
      <c r="NE49" s="20"/>
      <c r="NF49" s="20"/>
      <c r="NG49" s="20"/>
      <c r="NH49" s="20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0"/>
      <c r="OM49" s="20"/>
      <c r="ON49" s="20"/>
      <c r="OO49" s="20"/>
      <c r="OP49" s="20"/>
      <c r="OQ49" s="20"/>
      <c r="OR49" s="20"/>
      <c r="OS49" s="20"/>
      <c r="OT49" s="20"/>
      <c r="OU49" s="20"/>
      <c r="OV49" s="20"/>
      <c r="OW49" s="20"/>
      <c r="OX49" s="20"/>
      <c r="OY49" s="20"/>
      <c r="OZ49" s="20"/>
      <c r="PA49" s="20"/>
      <c r="PB49" s="20"/>
      <c r="PC49" s="20"/>
      <c r="PD49" s="20"/>
      <c r="PE49" s="20"/>
      <c r="PF49" s="20"/>
      <c r="PG49" s="20"/>
      <c r="PH49" s="20"/>
      <c r="PI49" s="20"/>
      <c r="PJ49" s="20"/>
      <c r="PK49" s="20"/>
      <c r="PL49" s="20"/>
      <c r="PM49" s="20"/>
      <c r="PN49" s="20"/>
      <c r="PO49" s="20"/>
      <c r="PP49" s="20"/>
      <c r="PQ49" s="20"/>
      <c r="PR49" s="20"/>
      <c r="PS49" s="20"/>
      <c r="PT49" s="20"/>
      <c r="PU49" s="20"/>
      <c r="PV49" s="20"/>
      <c r="PW49" s="20"/>
      <c r="PX49" s="20"/>
      <c r="PY49" s="20"/>
      <c r="PZ49" s="20"/>
      <c r="QA49" s="20"/>
      <c r="QB49" s="20"/>
      <c r="QC49" s="20"/>
      <c r="QD49" s="20"/>
      <c r="QE49" s="20"/>
      <c r="QF49" s="20"/>
      <c r="QG49" s="20"/>
      <c r="QH49" s="20"/>
      <c r="QI49" s="20"/>
      <c r="QJ49" s="20"/>
      <c r="QK49" s="20"/>
      <c r="QL49" s="20"/>
      <c r="QM49" s="20"/>
      <c r="QN49" s="20"/>
      <c r="QO49" s="20"/>
      <c r="QP49" s="20"/>
      <c r="QQ49" s="20"/>
      <c r="QR49" s="20"/>
      <c r="QS49" s="20"/>
      <c r="QT49" s="20"/>
      <c r="QU49" s="20"/>
      <c r="QV49" s="20"/>
      <c r="QW49" s="20"/>
      <c r="QX49" s="20"/>
      <c r="QY49" s="20"/>
      <c r="QZ49" s="20"/>
      <c r="RA49" s="20"/>
      <c r="RB49" s="20"/>
      <c r="RC49" s="20"/>
      <c r="RD49" s="20"/>
      <c r="RE49" s="20"/>
      <c r="RF49" s="20"/>
      <c r="RG49" s="20"/>
      <c r="RH49" s="20"/>
      <c r="RI49" s="20"/>
      <c r="RJ49" s="20"/>
      <c r="RK49" s="20"/>
      <c r="RL49" s="20"/>
      <c r="RM49" s="20"/>
      <c r="RN49" s="20"/>
      <c r="RO49" s="20"/>
      <c r="RP49" s="20"/>
      <c r="RQ49" s="20"/>
      <c r="RR49" s="20"/>
      <c r="RS49" s="20"/>
      <c r="RT49" s="20"/>
      <c r="RU49" s="20"/>
      <c r="RV49" s="20"/>
      <c r="RW49" s="20"/>
      <c r="RX49" s="20"/>
      <c r="RY49" s="20"/>
      <c r="RZ49" s="20"/>
      <c r="SA49" s="20"/>
      <c r="SB49" s="20"/>
      <c r="SC49" s="20"/>
      <c r="SD49" s="20"/>
      <c r="SE49" s="20"/>
      <c r="SF49" s="20"/>
      <c r="SG49" s="20"/>
      <c r="SH49" s="20"/>
      <c r="SI49" s="20"/>
      <c r="SJ49" s="20"/>
      <c r="SK49" s="20"/>
      <c r="SL49" s="20"/>
      <c r="SM49" s="20"/>
      <c r="SN49" s="20"/>
      <c r="SO49" s="20"/>
      <c r="SP49" s="20"/>
      <c r="SQ49" s="20"/>
      <c r="SR49" s="20"/>
      <c r="SS49" s="20"/>
      <c r="ST49" s="20"/>
      <c r="SU49" s="20"/>
      <c r="SV49" s="20"/>
      <c r="SW49" s="20"/>
      <c r="SX49" s="20"/>
      <c r="SY49" s="20"/>
      <c r="SZ49" s="20"/>
      <c r="TA49" s="20"/>
      <c r="TB49" s="20"/>
      <c r="TC49" s="20"/>
      <c r="TD49" s="20"/>
      <c r="TE49" s="20"/>
      <c r="TF49" s="20"/>
      <c r="TG49" s="20"/>
      <c r="TH49" s="20"/>
      <c r="TI49" s="20"/>
      <c r="TJ49" s="20"/>
      <c r="TK49" s="20"/>
      <c r="TL49" s="20"/>
      <c r="TM49" s="20"/>
      <c r="TN49" s="20"/>
      <c r="TO49" s="20"/>
      <c r="TP49" s="20"/>
      <c r="TQ49" s="20"/>
      <c r="TR49" s="20"/>
      <c r="TS49" s="20"/>
      <c r="TT49" s="20"/>
      <c r="TU49" s="20"/>
      <c r="TV49" s="20"/>
      <c r="TW49" s="20"/>
      <c r="TX49" s="20"/>
      <c r="TY49" s="20"/>
      <c r="TZ49" s="20"/>
      <c r="UA49" s="20"/>
      <c r="UB49" s="20"/>
      <c r="UC49" s="20"/>
      <c r="UD49" s="20"/>
      <c r="UE49" s="20"/>
      <c r="UF49" s="20"/>
      <c r="UG49" s="20"/>
      <c r="UH49" s="20"/>
      <c r="UI49" s="20"/>
      <c r="UJ49" s="20"/>
      <c r="UK49" s="20"/>
      <c r="UL49" s="20"/>
      <c r="UM49" s="20"/>
      <c r="UN49" s="20"/>
      <c r="UO49" s="20"/>
      <c r="UP49" s="20"/>
      <c r="UQ49" s="20"/>
      <c r="UR49" s="20"/>
      <c r="US49" s="20"/>
      <c r="UT49" s="20"/>
      <c r="UU49" s="20"/>
      <c r="UV49" s="20"/>
      <c r="UW49" s="20"/>
      <c r="UX49" s="20"/>
      <c r="UY49" s="20"/>
      <c r="UZ49" s="20"/>
      <c r="VA49" s="20"/>
      <c r="VB49" s="20"/>
      <c r="VC49" s="20"/>
      <c r="VD49" s="20"/>
      <c r="VE49" s="20"/>
      <c r="VF49" s="20"/>
      <c r="VG49" s="20"/>
      <c r="VH49" s="20"/>
      <c r="VI49" s="20"/>
      <c r="VJ49" s="20"/>
      <c r="VK49" s="20"/>
      <c r="VL49" s="20"/>
      <c r="VM49" s="20"/>
      <c r="VN49" s="20"/>
      <c r="VO49" s="20"/>
      <c r="VP49" s="20"/>
      <c r="VQ49" s="20"/>
      <c r="VR49" s="20"/>
      <c r="VS49" s="20"/>
      <c r="VT49" s="20"/>
      <c r="VU49" s="20"/>
      <c r="VV49" s="20"/>
      <c r="VW49" s="20"/>
      <c r="VX49" s="20"/>
      <c r="VY49" s="20"/>
      <c r="VZ49" s="20"/>
      <c r="WA49" s="20"/>
      <c r="WB49" s="20"/>
      <c r="WC49" s="20"/>
      <c r="WD49" s="20"/>
      <c r="WE49" s="20"/>
      <c r="WF49" s="20"/>
      <c r="WG49" s="20"/>
      <c r="WH49" s="20"/>
      <c r="WI49" s="20"/>
      <c r="WJ49" s="20"/>
      <c r="WK49" s="20"/>
      <c r="WL49" s="20"/>
      <c r="WM49" s="20"/>
      <c r="WN49" s="20"/>
      <c r="WO49" s="20"/>
      <c r="WP49" s="20"/>
      <c r="WQ49" s="20"/>
      <c r="WR49" s="20"/>
      <c r="WS49" s="20"/>
      <c r="WT49" s="20"/>
      <c r="WU49" s="20"/>
      <c r="WV49" s="20"/>
      <c r="WW49" s="20"/>
      <c r="WX49" s="20"/>
      <c r="WY49" s="20"/>
      <c r="WZ49" s="20"/>
      <c r="XA49" s="20"/>
      <c r="XB49" s="20"/>
      <c r="XC49" s="20"/>
      <c r="XD49" s="20"/>
      <c r="XE49" s="20"/>
      <c r="XF49" s="20"/>
      <c r="XG49" s="20"/>
      <c r="XH49" s="20"/>
      <c r="XI49" s="20"/>
      <c r="XJ49" s="20"/>
      <c r="XK49" s="20"/>
      <c r="XL49" s="20"/>
      <c r="XM49" s="20"/>
      <c r="XN49" s="20"/>
      <c r="XO49" s="20"/>
      <c r="XP49" s="20"/>
      <c r="XQ49" s="20"/>
      <c r="XR49" s="20"/>
      <c r="XS49" s="20"/>
      <c r="XT49" s="20"/>
      <c r="XU49" s="20"/>
      <c r="XV49" s="20"/>
      <c r="XW49" s="20"/>
      <c r="XX49" s="20"/>
      <c r="XY49" s="20"/>
      <c r="XZ49" s="20"/>
      <c r="YA49" s="20"/>
      <c r="YB49" s="20"/>
      <c r="YC49" s="20"/>
      <c r="YD49" s="20"/>
      <c r="YE49" s="20"/>
      <c r="YF49" s="20"/>
      <c r="YG49" s="20"/>
      <c r="YH49" s="20"/>
      <c r="YI49" s="20"/>
      <c r="YJ49" s="20"/>
      <c r="YK49" s="20"/>
      <c r="YL49" s="20"/>
      <c r="YM49" s="20"/>
      <c r="YN49" s="20"/>
      <c r="YO49" s="20"/>
      <c r="YP49" s="20"/>
      <c r="YQ49" s="20"/>
      <c r="YR49" s="20"/>
      <c r="YS49" s="20"/>
      <c r="YT49" s="20"/>
      <c r="YU49" s="20"/>
      <c r="YV49" s="20"/>
      <c r="YW49" s="20"/>
      <c r="YX49" s="20"/>
      <c r="YY49" s="20"/>
      <c r="YZ49" s="20"/>
      <c r="ZA49" s="20"/>
      <c r="ZB49" s="20"/>
      <c r="ZC49" s="20"/>
      <c r="ZD49" s="20"/>
      <c r="ZE49" s="20"/>
      <c r="ZF49" s="20"/>
      <c r="ZG49" s="20"/>
      <c r="ZH49" s="20"/>
      <c r="ZI49" s="20"/>
      <c r="ZJ49" s="20"/>
      <c r="ZK49" s="20"/>
      <c r="ZL49" s="20"/>
      <c r="ZM49" s="20"/>
      <c r="ZN49" s="20"/>
      <c r="ZO49" s="20"/>
      <c r="ZP49" s="20"/>
      <c r="ZQ49" s="20"/>
      <c r="ZR49" s="20"/>
      <c r="ZS49" s="20"/>
      <c r="ZT49" s="20"/>
      <c r="ZU49" s="20"/>
      <c r="ZV49" s="20"/>
      <c r="ZW49" s="20"/>
      <c r="ZX49" s="20"/>
      <c r="ZY49" s="20"/>
      <c r="ZZ49" s="20"/>
      <c r="AAA49" s="20"/>
      <c r="AAB49" s="20"/>
      <c r="AAC49" s="20"/>
      <c r="AAD49" s="20"/>
      <c r="AAE49" s="20"/>
      <c r="AAF49" s="20"/>
      <c r="AAG49" s="20"/>
      <c r="AAH49" s="20"/>
      <c r="AAI49" s="20"/>
      <c r="AAJ49" s="20"/>
      <c r="AAK49" s="20"/>
      <c r="AAL49" s="20"/>
      <c r="AAM49" s="20"/>
      <c r="AAN49" s="20"/>
      <c r="AAO49" s="20"/>
      <c r="AAP49" s="20"/>
      <c r="AAQ49" s="20"/>
      <c r="AAR49" s="20"/>
      <c r="AAS49" s="20"/>
      <c r="AAT49" s="20"/>
      <c r="AAU49" s="20"/>
      <c r="AAV49" s="20"/>
      <c r="AAW49" s="20"/>
      <c r="AAX49" s="20"/>
      <c r="AAY49" s="20"/>
      <c r="AAZ49" s="20"/>
      <c r="ABA49" s="20"/>
      <c r="ABB49" s="20"/>
      <c r="ABC49" s="20"/>
      <c r="ABD49" s="20"/>
      <c r="ABE49" s="20"/>
      <c r="ABF49" s="20"/>
      <c r="ABG49" s="20"/>
      <c r="ABH49" s="20"/>
      <c r="ABI49" s="20"/>
      <c r="ABJ49" s="20"/>
      <c r="ABK49" s="20"/>
      <c r="ABL49" s="20"/>
      <c r="ABM49" s="20"/>
      <c r="ABN49" s="20"/>
      <c r="ABO49" s="20"/>
      <c r="ABP49" s="20"/>
      <c r="ABQ49" s="20"/>
      <c r="ABR49" s="20"/>
      <c r="ABS49" s="20"/>
      <c r="ABT49" s="20"/>
      <c r="ABU49" s="20"/>
      <c r="ABV49" s="20"/>
      <c r="ABW49" s="20"/>
      <c r="ABX49" s="20"/>
      <c r="ABY49" s="20"/>
      <c r="ABZ49" s="20"/>
      <c r="ACA49" s="20"/>
      <c r="ACB49" s="20"/>
      <c r="ACC49" s="20"/>
      <c r="ACD49" s="20"/>
      <c r="ACE49" s="20"/>
      <c r="ACF49" s="20"/>
      <c r="ACG49" s="20"/>
      <c r="ACH49" s="20"/>
      <c r="ACI49" s="20"/>
      <c r="ACJ49" s="20"/>
      <c r="ACK49" s="20"/>
      <c r="ACL49" s="20"/>
      <c r="ACM49" s="20"/>
      <c r="ACN49" s="20"/>
      <c r="ACO49" s="20"/>
      <c r="ACP49" s="20"/>
      <c r="ACQ49" s="20"/>
      <c r="ACR49" s="20"/>
      <c r="ACS49" s="20"/>
      <c r="ACT49" s="20"/>
      <c r="ACU49" s="20"/>
      <c r="ACV49" s="20"/>
      <c r="ACW49" s="20"/>
      <c r="ACX49" s="20"/>
      <c r="ACY49" s="20"/>
      <c r="ACZ49" s="20"/>
      <c r="ADA49" s="20"/>
      <c r="ADB49" s="20"/>
      <c r="ADC49" s="20"/>
      <c r="ADD49" s="20"/>
      <c r="ADE49" s="20"/>
      <c r="ADF49" s="20"/>
      <c r="ADG49" s="20"/>
      <c r="ADH49" s="20"/>
      <c r="ADI49" s="20"/>
      <c r="ADJ49" s="20"/>
      <c r="ADK49" s="20"/>
      <c r="ADL49" s="20"/>
      <c r="ADM49" s="20"/>
      <c r="ADN49" s="20"/>
      <c r="ADO49" s="20"/>
      <c r="ADP49" s="20"/>
      <c r="ADQ49" s="20"/>
      <c r="ADR49" s="20"/>
      <c r="ADS49" s="20"/>
      <c r="ADT49" s="20"/>
      <c r="ADU49" s="20"/>
      <c r="ADV49" s="20"/>
      <c r="ADW49" s="20"/>
      <c r="ADX49" s="20"/>
      <c r="ADY49" s="20"/>
      <c r="ADZ49" s="20"/>
      <c r="AEA49" s="20"/>
      <c r="AEB49" s="20"/>
      <c r="AEC49" s="20"/>
      <c r="AED49" s="20"/>
      <c r="AEE49" s="20"/>
      <c r="AEF49" s="20"/>
      <c r="AEG49" s="20"/>
      <c r="AEH49" s="20"/>
      <c r="AEI49" s="20"/>
      <c r="AEJ49" s="20"/>
      <c r="AEK49" s="20"/>
      <c r="AEL49" s="20"/>
      <c r="AEM49" s="20"/>
      <c r="AEN49" s="20"/>
      <c r="AEO49" s="20"/>
      <c r="AEP49" s="20"/>
      <c r="AEQ49" s="20"/>
      <c r="AER49" s="20"/>
      <c r="AES49" s="20"/>
      <c r="AET49" s="20"/>
      <c r="AEU49" s="20"/>
      <c r="AEV49" s="20"/>
      <c r="AEW49" s="20"/>
      <c r="AEX49" s="20"/>
      <c r="AEY49" s="20"/>
      <c r="AEZ49" s="20"/>
      <c r="AFA49" s="20"/>
      <c r="AFB49" s="20"/>
      <c r="AFC49" s="20"/>
      <c r="AFD49" s="20"/>
      <c r="AFE49" s="20"/>
      <c r="AFF49" s="20"/>
      <c r="AFG49" s="20"/>
      <c r="AFH49" s="20"/>
      <c r="AFI49" s="20"/>
      <c r="AFJ49" s="20"/>
      <c r="AFK49" s="20"/>
      <c r="AFL49" s="20"/>
      <c r="AFM49" s="20"/>
      <c r="AFN49" s="20"/>
      <c r="AFO49" s="20"/>
      <c r="AFP49" s="20"/>
      <c r="AFQ49" s="20"/>
      <c r="AFR49" s="20"/>
      <c r="AFS49" s="20"/>
      <c r="AFT49" s="20"/>
      <c r="AFU49" s="20"/>
      <c r="AFV49" s="20"/>
      <c r="AFW49" s="20"/>
      <c r="AFX49" s="20"/>
      <c r="AFY49" s="20"/>
      <c r="AFZ49" s="20"/>
      <c r="AGA49" s="20"/>
      <c r="AGB49" s="20"/>
      <c r="AGC49" s="20"/>
      <c r="AGD49" s="20"/>
      <c r="AGE49" s="20"/>
      <c r="AGF49" s="20"/>
      <c r="AGG49" s="20"/>
      <c r="AGH49" s="20"/>
      <c r="AGI49" s="20"/>
      <c r="AGJ49" s="20"/>
      <c r="AGK49" s="20"/>
      <c r="AGL49" s="20"/>
      <c r="AGM49" s="20"/>
      <c r="AGN49" s="20"/>
      <c r="AGO49" s="20"/>
      <c r="AGP49" s="20"/>
      <c r="AGQ49" s="20"/>
      <c r="AGR49" s="20"/>
      <c r="AGS49" s="20"/>
      <c r="AGT49" s="20"/>
      <c r="AGU49" s="20"/>
      <c r="AGV49" s="20"/>
      <c r="AGW49" s="20"/>
      <c r="AGX49" s="20"/>
      <c r="AGY49" s="20"/>
      <c r="AGZ49" s="20"/>
      <c r="AHA49" s="20"/>
      <c r="AHB49" s="20"/>
      <c r="AHC49" s="20"/>
      <c r="AHD49" s="20"/>
      <c r="AHE49" s="20"/>
      <c r="AHF49" s="20"/>
      <c r="AHG49" s="20"/>
      <c r="AHH49" s="20"/>
      <c r="AHI49" s="20"/>
      <c r="AHJ49" s="20"/>
      <c r="AHK49" s="20"/>
      <c r="AHL49" s="20"/>
      <c r="AHM49" s="20"/>
      <c r="AHN49" s="20"/>
      <c r="AHO49" s="20"/>
      <c r="AHP49" s="20"/>
      <c r="AHQ49" s="20"/>
      <c r="AHR49" s="20"/>
      <c r="AHS49" s="20"/>
      <c r="AHT49" s="20"/>
      <c r="AHU49" s="20"/>
      <c r="AHV49" s="20"/>
      <c r="AHW49" s="20"/>
      <c r="AHX49" s="20"/>
      <c r="AHY49" s="20"/>
      <c r="AHZ49" s="20"/>
      <c r="AIA49" s="20"/>
      <c r="AIB49" s="20"/>
      <c r="AIC49" s="20"/>
      <c r="AID49" s="20"/>
      <c r="AIE49" s="20"/>
      <c r="AIF49" s="20"/>
      <c r="AIG49" s="20"/>
      <c r="AIH49" s="20"/>
      <c r="AII49" s="20"/>
      <c r="AIJ49" s="20"/>
      <c r="AIK49" s="20"/>
      <c r="AIL49" s="20"/>
      <c r="AIM49" s="20"/>
      <c r="AIN49" s="20"/>
      <c r="AIO49" s="20"/>
      <c r="AIP49" s="20"/>
      <c r="AIQ49" s="20"/>
      <c r="AIR49" s="20"/>
      <c r="AIS49" s="20"/>
      <c r="AIT49" s="20"/>
      <c r="AIU49" s="20"/>
      <c r="AIV49" s="20"/>
      <c r="AIW49" s="20"/>
      <c r="AIX49" s="20"/>
      <c r="AIY49" s="20"/>
      <c r="AIZ49" s="20"/>
      <c r="AJA49" s="20"/>
      <c r="AJB49" s="20"/>
      <c r="AJC49" s="20"/>
      <c r="AJD49" s="20"/>
      <c r="AJE49" s="20"/>
      <c r="AJF49" s="20"/>
      <c r="AJG49" s="20"/>
      <c r="AJH49" s="20"/>
      <c r="AJI49" s="20"/>
      <c r="AJJ49" s="20"/>
      <c r="AJK49" s="20"/>
      <c r="AJL49" s="20"/>
      <c r="AJM49" s="20"/>
      <c r="AJN49" s="20"/>
      <c r="AJO49" s="20"/>
      <c r="AJP49" s="20"/>
      <c r="AJQ49" s="20"/>
      <c r="AJR49" s="20"/>
      <c r="AJS49" s="20"/>
      <c r="AJT49" s="20"/>
      <c r="AJU49" s="20"/>
      <c r="AJV49" s="20"/>
      <c r="AJW49" s="20"/>
      <c r="AJX49" s="20"/>
      <c r="AJY49" s="20"/>
      <c r="AJZ49" s="20"/>
      <c r="AKA49" s="20"/>
      <c r="AKB49" s="20"/>
      <c r="AKC49" s="20"/>
      <c r="AKD49" s="20"/>
      <c r="AKE49" s="20"/>
      <c r="AKF49" s="20"/>
      <c r="AKG49" s="20"/>
      <c r="AKH49" s="20"/>
      <c r="AKI49" s="20"/>
      <c r="AKJ49" s="20"/>
      <c r="AKK49" s="20"/>
      <c r="AKL49" s="20"/>
      <c r="AKM49" s="20"/>
      <c r="AKN49" s="20"/>
      <c r="AKO49" s="20"/>
      <c r="AKP49" s="20"/>
      <c r="AKQ49" s="20"/>
      <c r="AKR49" s="20"/>
      <c r="AKS49" s="20"/>
      <c r="AKT49" s="20"/>
      <c r="AKU49" s="20"/>
      <c r="AKV49" s="20"/>
      <c r="AKW49" s="20"/>
      <c r="AKX49" s="20"/>
      <c r="AKY49" s="20"/>
      <c r="AKZ49" s="20"/>
      <c r="ALA49" s="20"/>
      <c r="ALB49" s="20"/>
      <c r="ALC49" s="20"/>
      <c r="ALD49" s="20"/>
      <c r="ALE49" s="20"/>
      <c r="ALF49" s="20"/>
      <c r="ALG49" s="20"/>
      <c r="ALH49" s="20"/>
      <c r="ALI49" s="20"/>
      <c r="ALJ49" s="20"/>
      <c r="ALK49" s="20"/>
      <c r="ALL49" s="20"/>
      <c r="ALM49" s="20"/>
      <c r="ALN49" s="20"/>
      <c r="ALO49" s="20"/>
      <c r="ALP49" s="20"/>
      <c r="ALQ49" s="20"/>
      <c r="ALR49" s="20"/>
      <c r="ALS49" s="20"/>
      <c r="ALT49" s="20"/>
      <c r="ALU49" s="20"/>
      <c r="ALV49" s="20"/>
      <c r="ALW49" s="20"/>
      <c r="ALX49" s="20"/>
      <c r="ALY49" s="20"/>
      <c r="ALZ49" s="20"/>
      <c r="AMA49" s="20"/>
      <c r="AMB49" s="20"/>
      <c r="AMC49" s="20"/>
      <c r="AMD49" s="20"/>
      <c r="AME49" s="20"/>
      <c r="AMF49" s="20"/>
      <c r="AMG49" s="20"/>
      <c r="AMH49" s="20"/>
      <c r="AMI49" s="20"/>
      <c r="AMJ49" s="20"/>
      <c r="AMK49" s="20"/>
    </row>
    <row r="50" spans="1:1025" s="21" customFormat="1" ht="12.95" customHeight="1" x14ac:dyDescent="0.25">
      <c r="A50" s="22">
        <v>23</v>
      </c>
      <c r="B50" s="38" t="s">
        <v>261</v>
      </c>
      <c r="C50" s="23">
        <v>40</v>
      </c>
      <c r="D50" s="24">
        <f>5+10+2.5+0.63+10</f>
        <v>28.13</v>
      </c>
      <c r="E50" s="24">
        <f>10+0.72+10</f>
        <v>20.72</v>
      </c>
      <c r="F50" s="24">
        <f>10+4.2+10+0.72+15</f>
        <v>39.92</v>
      </c>
      <c r="G50" s="24">
        <f>0.72+7.61+10</f>
        <v>18.329999999999998</v>
      </c>
      <c r="H50" s="24">
        <f>5+10+10</f>
        <v>25</v>
      </c>
      <c r="I50" s="24">
        <v>23</v>
      </c>
      <c r="J50" s="24">
        <f>5+10+10</f>
        <v>25</v>
      </c>
      <c r="K50" s="24">
        <f>10+21+10+10</f>
        <v>51</v>
      </c>
      <c r="L50" s="24">
        <f>5+10+10</f>
        <v>25</v>
      </c>
      <c r="M50" s="24">
        <v>22.5</v>
      </c>
      <c r="N50" s="24">
        <f t="shared" si="3"/>
        <v>278.60000000000002</v>
      </c>
      <c r="O50" s="24">
        <f t="shared" si="1"/>
        <v>27.860000000000003</v>
      </c>
      <c r="P50" s="25">
        <f t="shared" si="2"/>
        <v>-12.139999999999997</v>
      </c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20"/>
      <c r="MJ50" s="20"/>
      <c r="MK50" s="20"/>
      <c r="ML50" s="20"/>
      <c r="MM50" s="20"/>
      <c r="MN50" s="20"/>
      <c r="MO50" s="20"/>
      <c r="MP50" s="20"/>
      <c r="MQ50" s="20"/>
      <c r="MR50" s="20"/>
      <c r="MS50" s="20"/>
      <c r="MT50" s="20"/>
      <c r="MU50" s="20"/>
      <c r="MV50" s="20"/>
      <c r="MW50" s="20"/>
      <c r="MX50" s="20"/>
      <c r="MY50" s="20"/>
      <c r="MZ50" s="20"/>
      <c r="NA50" s="20"/>
      <c r="NB50" s="20"/>
      <c r="NC50" s="20"/>
      <c r="ND50" s="20"/>
      <c r="NE50" s="20"/>
      <c r="NF50" s="20"/>
      <c r="NG50" s="20"/>
      <c r="NH50" s="20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0"/>
      <c r="OM50" s="20"/>
      <c r="ON50" s="20"/>
      <c r="OO50" s="20"/>
      <c r="OP50" s="20"/>
      <c r="OQ50" s="20"/>
      <c r="OR50" s="20"/>
      <c r="OS50" s="20"/>
      <c r="OT50" s="20"/>
      <c r="OU50" s="20"/>
      <c r="OV50" s="20"/>
      <c r="OW50" s="20"/>
      <c r="OX50" s="20"/>
      <c r="OY50" s="20"/>
      <c r="OZ50" s="20"/>
      <c r="PA50" s="20"/>
      <c r="PB50" s="20"/>
      <c r="PC50" s="20"/>
      <c r="PD50" s="20"/>
      <c r="PE50" s="20"/>
      <c r="PF50" s="20"/>
      <c r="PG50" s="20"/>
      <c r="PH50" s="20"/>
      <c r="PI50" s="20"/>
      <c r="PJ50" s="20"/>
      <c r="PK50" s="20"/>
      <c r="PL50" s="20"/>
      <c r="PM50" s="20"/>
      <c r="PN50" s="20"/>
      <c r="PO50" s="20"/>
      <c r="PP50" s="20"/>
      <c r="PQ50" s="20"/>
      <c r="PR50" s="20"/>
      <c r="PS50" s="20"/>
      <c r="PT50" s="20"/>
      <c r="PU50" s="20"/>
      <c r="PV50" s="20"/>
      <c r="PW50" s="20"/>
      <c r="PX50" s="20"/>
      <c r="PY50" s="20"/>
      <c r="PZ50" s="20"/>
      <c r="QA50" s="20"/>
      <c r="QB50" s="20"/>
      <c r="QC50" s="20"/>
      <c r="QD50" s="20"/>
      <c r="QE50" s="20"/>
      <c r="QF50" s="20"/>
      <c r="QG50" s="20"/>
      <c r="QH50" s="20"/>
      <c r="QI50" s="20"/>
      <c r="QJ50" s="20"/>
      <c r="QK50" s="20"/>
      <c r="QL50" s="20"/>
      <c r="QM50" s="20"/>
      <c r="QN50" s="20"/>
      <c r="QO50" s="20"/>
      <c r="QP50" s="20"/>
      <c r="QQ50" s="20"/>
      <c r="QR50" s="20"/>
      <c r="QS50" s="20"/>
      <c r="QT50" s="20"/>
      <c r="QU50" s="20"/>
      <c r="QV50" s="20"/>
      <c r="QW50" s="20"/>
      <c r="QX50" s="20"/>
      <c r="QY50" s="20"/>
      <c r="QZ50" s="20"/>
      <c r="RA50" s="20"/>
      <c r="RB50" s="20"/>
      <c r="RC50" s="20"/>
      <c r="RD50" s="20"/>
      <c r="RE50" s="20"/>
      <c r="RF50" s="20"/>
      <c r="RG50" s="20"/>
      <c r="RH50" s="20"/>
      <c r="RI50" s="20"/>
      <c r="RJ50" s="20"/>
      <c r="RK50" s="20"/>
      <c r="RL50" s="20"/>
      <c r="RM50" s="20"/>
      <c r="RN50" s="20"/>
      <c r="RO50" s="20"/>
      <c r="RP50" s="20"/>
      <c r="RQ50" s="20"/>
      <c r="RR50" s="20"/>
      <c r="RS50" s="20"/>
      <c r="RT50" s="20"/>
      <c r="RU50" s="20"/>
      <c r="RV50" s="20"/>
      <c r="RW50" s="20"/>
      <c r="RX50" s="20"/>
      <c r="RY50" s="20"/>
      <c r="RZ50" s="20"/>
      <c r="SA50" s="20"/>
      <c r="SB50" s="20"/>
      <c r="SC50" s="20"/>
      <c r="SD50" s="20"/>
      <c r="SE50" s="20"/>
      <c r="SF50" s="20"/>
      <c r="SG50" s="20"/>
      <c r="SH50" s="20"/>
      <c r="SI50" s="20"/>
      <c r="SJ50" s="20"/>
      <c r="SK50" s="20"/>
      <c r="SL50" s="20"/>
      <c r="SM50" s="20"/>
      <c r="SN50" s="20"/>
      <c r="SO50" s="20"/>
      <c r="SP50" s="20"/>
      <c r="SQ50" s="20"/>
      <c r="SR50" s="20"/>
      <c r="SS50" s="20"/>
      <c r="ST50" s="20"/>
      <c r="SU50" s="20"/>
      <c r="SV50" s="20"/>
      <c r="SW50" s="20"/>
      <c r="SX50" s="20"/>
      <c r="SY50" s="20"/>
      <c r="SZ50" s="20"/>
      <c r="TA50" s="20"/>
      <c r="TB50" s="20"/>
      <c r="TC50" s="20"/>
      <c r="TD50" s="20"/>
      <c r="TE50" s="20"/>
      <c r="TF50" s="20"/>
      <c r="TG50" s="20"/>
      <c r="TH50" s="20"/>
      <c r="TI50" s="20"/>
      <c r="TJ50" s="20"/>
      <c r="TK50" s="20"/>
      <c r="TL50" s="20"/>
      <c r="TM50" s="20"/>
      <c r="TN50" s="20"/>
      <c r="TO50" s="20"/>
      <c r="TP50" s="20"/>
      <c r="TQ50" s="20"/>
      <c r="TR50" s="20"/>
      <c r="TS50" s="20"/>
      <c r="TT50" s="20"/>
      <c r="TU50" s="20"/>
      <c r="TV50" s="20"/>
      <c r="TW50" s="20"/>
      <c r="TX50" s="20"/>
      <c r="TY50" s="20"/>
      <c r="TZ50" s="20"/>
      <c r="UA50" s="20"/>
      <c r="UB50" s="20"/>
      <c r="UC50" s="20"/>
      <c r="UD50" s="20"/>
      <c r="UE50" s="20"/>
      <c r="UF50" s="20"/>
      <c r="UG50" s="20"/>
      <c r="UH50" s="20"/>
      <c r="UI50" s="20"/>
      <c r="UJ50" s="20"/>
      <c r="UK50" s="20"/>
      <c r="UL50" s="20"/>
      <c r="UM50" s="20"/>
      <c r="UN50" s="20"/>
      <c r="UO50" s="20"/>
      <c r="UP50" s="20"/>
      <c r="UQ50" s="20"/>
      <c r="UR50" s="20"/>
      <c r="US50" s="20"/>
      <c r="UT50" s="20"/>
      <c r="UU50" s="20"/>
      <c r="UV50" s="20"/>
      <c r="UW50" s="20"/>
      <c r="UX50" s="20"/>
      <c r="UY50" s="20"/>
      <c r="UZ50" s="20"/>
      <c r="VA50" s="20"/>
      <c r="VB50" s="20"/>
      <c r="VC50" s="20"/>
      <c r="VD50" s="20"/>
      <c r="VE50" s="20"/>
      <c r="VF50" s="20"/>
      <c r="VG50" s="20"/>
      <c r="VH50" s="20"/>
      <c r="VI50" s="20"/>
      <c r="VJ50" s="20"/>
      <c r="VK50" s="20"/>
      <c r="VL50" s="20"/>
      <c r="VM50" s="20"/>
      <c r="VN50" s="20"/>
      <c r="VO50" s="20"/>
      <c r="VP50" s="20"/>
      <c r="VQ50" s="20"/>
      <c r="VR50" s="20"/>
      <c r="VS50" s="20"/>
      <c r="VT50" s="20"/>
      <c r="VU50" s="20"/>
      <c r="VV50" s="20"/>
      <c r="VW50" s="20"/>
      <c r="VX50" s="20"/>
      <c r="VY50" s="20"/>
      <c r="VZ50" s="20"/>
      <c r="WA50" s="20"/>
      <c r="WB50" s="20"/>
      <c r="WC50" s="20"/>
      <c r="WD50" s="20"/>
      <c r="WE50" s="20"/>
      <c r="WF50" s="20"/>
      <c r="WG50" s="20"/>
      <c r="WH50" s="20"/>
      <c r="WI50" s="20"/>
      <c r="WJ50" s="20"/>
      <c r="WK50" s="20"/>
      <c r="WL50" s="20"/>
      <c r="WM50" s="20"/>
      <c r="WN50" s="20"/>
      <c r="WO50" s="20"/>
      <c r="WP50" s="20"/>
      <c r="WQ50" s="20"/>
      <c r="WR50" s="20"/>
      <c r="WS50" s="20"/>
      <c r="WT50" s="20"/>
      <c r="WU50" s="20"/>
      <c r="WV50" s="20"/>
      <c r="WW50" s="20"/>
      <c r="WX50" s="20"/>
      <c r="WY50" s="20"/>
      <c r="WZ50" s="20"/>
      <c r="XA50" s="20"/>
      <c r="XB50" s="20"/>
      <c r="XC50" s="20"/>
      <c r="XD50" s="20"/>
      <c r="XE50" s="20"/>
      <c r="XF50" s="20"/>
      <c r="XG50" s="20"/>
      <c r="XH50" s="20"/>
      <c r="XI50" s="20"/>
      <c r="XJ50" s="20"/>
      <c r="XK50" s="20"/>
      <c r="XL50" s="20"/>
      <c r="XM50" s="20"/>
      <c r="XN50" s="20"/>
      <c r="XO50" s="20"/>
      <c r="XP50" s="20"/>
      <c r="XQ50" s="20"/>
      <c r="XR50" s="20"/>
      <c r="XS50" s="20"/>
      <c r="XT50" s="20"/>
      <c r="XU50" s="20"/>
      <c r="XV50" s="20"/>
      <c r="XW50" s="20"/>
      <c r="XX50" s="20"/>
      <c r="XY50" s="20"/>
      <c r="XZ50" s="20"/>
      <c r="YA50" s="20"/>
      <c r="YB50" s="20"/>
      <c r="YC50" s="20"/>
      <c r="YD50" s="20"/>
      <c r="YE50" s="20"/>
      <c r="YF50" s="20"/>
      <c r="YG50" s="20"/>
      <c r="YH50" s="20"/>
      <c r="YI50" s="20"/>
      <c r="YJ50" s="20"/>
      <c r="YK50" s="20"/>
      <c r="YL50" s="20"/>
      <c r="YM50" s="20"/>
      <c r="YN50" s="20"/>
      <c r="YO50" s="20"/>
      <c r="YP50" s="20"/>
      <c r="YQ50" s="20"/>
      <c r="YR50" s="20"/>
      <c r="YS50" s="20"/>
      <c r="YT50" s="20"/>
      <c r="YU50" s="20"/>
      <c r="YV50" s="20"/>
      <c r="YW50" s="20"/>
      <c r="YX50" s="20"/>
      <c r="YY50" s="20"/>
      <c r="YZ50" s="20"/>
      <c r="ZA50" s="20"/>
      <c r="ZB50" s="20"/>
      <c r="ZC50" s="20"/>
      <c r="ZD50" s="20"/>
      <c r="ZE50" s="20"/>
      <c r="ZF50" s="20"/>
      <c r="ZG50" s="20"/>
      <c r="ZH50" s="20"/>
      <c r="ZI50" s="20"/>
      <c r="ZJ50" s="20"/>
      <c r="ZK50" s="20"/>
      <c r="ZL50" s="20"/>
      <c r="ZM50" s="20"/>
      <c r="ZN50" s="20"/>
      <c r="ZO50" s="20"/>
      <c r="ZP50" s="20"/>
      <c r="ZQ50" s="20"/>
      <c r="ZR50" s="20"/>
      <c r="ZS50" s="20"/>
      <c r="ZT50" s="20"/>
      <c r="ZU50" s="20"/>
      <c r="ZV50" s="20"/>
      <c r="ZW50" s="20"/>
      <c r="ZX50" s="20"/>
      <c r="ZY50" s="20"/>
      <c r="ZZ50" s="20"/>
      <c r="AAA50" s="20"/>
      <c r="AAB50" s="20"/>
      <c r="AAC50" s="20"/>
      <c r="AAD50" s="20"/>
      <c r="AAE50" s="20"/>
      <c r="AAF50" s="20"/>
      <c r="AAG50" s="20"/>
      <c r="AAH50" s="20"/>
      <c r="AAI50" s="20"/>
      <c r="AAJ50" s="20"/>
      <c r="AAK50" s="20"/>
      <c r="AAL50" s="20"/>
      <c r="AAM50" s="20"/>
      <c r="AAN50" s="20"/>
      <c r="AAO50" s="20"/>
      <c r="AAP50" s="20"/>
      <c r="AAQ50" s="20"/>
      <c r="AAR50" s="20"/>
      <c r="AAS50" s="20"/>
      <c r="AAT50" s="20"/>
      <c r="AAU50" s="20"/>
      <c r="AAV50" s="20"/>
      <c r="AAW50" s="20"/>
      <c r="AAX50" s="20"/>
      <c r="AAY50" s="20"/>
      <c r="AAZ50" s="20"/>
      <c r="ABA50" s="20"/>
      <c r="ABB50" s="20"/>
      <c r="ABC50" s="20"/>
      <c r="ABD50" s="20"/>
      <c r="ABE50" s="20"/>
      <c r="ABF50" s="20"/>
      <c r="ABG50" s="20"/>
      <c r="ABH50" s="20"/>
      <c r="ABI50" s="20"/>
      <c r="ABJ50" s="20"/>
      <c r="ABK50" s="20"/>
      <c r="ABL50" s="20"/>
      <c r="ABM50" s="20"/>
      <c r="ABN50" s="20"/>
      <c r="ABO50" s="20"/>
      <c r="ABP50" s="20"/>
      <c r="ABQ50" s="20"/>
      <c r="ABR50" s="20"/>
      <c r="ABS50" s="20"/>
      <c r="ABT50" s="20"/>
      <c r="ABU50" s="20"/>
      <c r="ABV50" s="20"/>
      <c r="ABW50" s="20"/>
      <c r="ABX50" s="20"/>
      <c r="ABY50" s="20"/>
      <c r="ABZ50" s="20"/>
      <c r="ACA50" s="20"/>
      <c r="ACB50" s="20"/>
      <c r="ACC50" s="20"/>
      <c r="ACD50" s="20"/>
      <c r="ACE50" s="20"/>
      <c r="ACF50" s="20"/>
      <c r="ACG50" s="20"/>
      <c r="ACH50" s="20"/>
      <c r="ACI50" s="20"/>
      <c r="ACJ50" s="20"/>
      <c r="ACK50" s="20"/>
      <c r="ACL50" s="20"/>
      <c r="ACM50" s="20"/>
      <c r="ACN50" s="20"/>
      <c r="ACO50" s="20"/>
      <c r="ACP50" s="20"/>
      <c r="ACQ50" s="20"/>
      <c r="ACR50" s="20"/>
      <c r="ACS50" s="20"/>
      <c r="ACT50" s="20"/>
      <c r="ACU50" s="20"/>
      <c r="ACV50" s="20"/>
      <c r="ACW50" s="20"/>
      <c r="ACX50" s="20"/>
      <c r="ACY50" s="20"/>
      <c r="ACZ50" s="20"/>
      <c r="ADA50" s="20"/>
      <c r="ADB50" s="20"/>
      <c r="ADC50" s="20"/>
      <c r="ADD50" s="20"/>
      <c r="ADE50" s="20"/>
      <c r="ADF50" s="20"/>
      <c r="ADG50" s="20"/>
      <c r="ADH50" s="20"/>
      <c r="ADI50" s="20"/>
      <c r="ADJ50" s="20"/>
      <c r="ADK50" s="20"/>
      <c r="ADL50" s="20"/>
      <c r="ADM50" s="20"/>
      <c r="ADN50" s="20"/>
      <c r="ADO50" s="20"/>
      <c r="ADP50" s="20"/>
      <c r="ADQ50" s="20"/>
      <c r="ADR50" s="20"/>
      <c r="ADS50" s="20"/>
      <c r="ADT50" s="20"/>
      <c r="ADU50" s="20"/>
      <c r="ADV50" s="20"/>
      <c r="ADW50" s="20"/>
      <c r="ADX50" s="20"/>
      <c r="ADY50" s="20"/>
      <c r="ADZ50" s="20"/>
      <c r="AEA50" s="20"/>
      <c r="AEB50" s="20"/>
      <c r="AEC50" s="20"/>
      <c r="AED50" s="20"/>
      <c r="AEE50" s="20"/>
      <c r="AEF50" s="20"/>
      <c r="AEG50" s="20"/>
      <c r="AEH50" s="20"/>
      <c r="AEI50" s="20"/>
      <c r="AEJ50" s="20"/>
      <c r="AEK50" s="20"/>
      <c r="AEL50" s="20"/>
      <c r="AEM50" s="20"/>
      <c r="AEN50" s="20"/>
      <c r="AEO50" s="20"/>
      <c r="AEP50" s="20"/>
      <c r="AEQ50" s="20"/>
      <c r="AER50" s="20"/>
      <c r="AES50" s="20"/>
      <c r="AET50" s="20"/>
      <c r="AEU50" s="20"/>
      <c r="AEV50" s="20"/>
      <c r="AEW50" s="20"/>
      <c r="AEX50" s="20"/>
      <c r="AEY50" s="20"/>
      <c r="AEZ50" s="20"/>
      <c r="AFA50" s="20"/>
      <c r="AFB50" s="20"/>
      <c r="AFC50" s="20"/>
      <c r="AFD50" s="20"/>
      <c r="AFE50" s="20"/>
      <c r="AFF50" s="20"/>
      <c r="AFG50" s="20"/>
      <c r="AFH50" s="20"/>
      <c r="AFI50" s="20"/>
      <c r="AFJ50" s="20"/>
      <c r="AFK50" s="20"/>
      <c r="AFL50" s="20"/>
      <c r="AFM50" s="20"/>
      <c r="AFN50" s="20"/>
      <c r="AFO50" s="20"/>
      <c r="AFP50" s="20"/>
      <c r="AFQ50" s="20"/>
      <c r="AFR50" s="20"/>
      <c r="AFS50" s="20"/>
      <c r="AFT50" s="20"/>
      <c r="AFU50" s="20"/>
      <c r="AFV50" s="20"/>
      <c r="AFW50" s="20"/>
      <c r="AFX50" s="20"/>
      <c r="AFY50" s="20"/>
      <c r="AFZ50" s="20"/>
      <c r="AGA50" s="20"/>
      <c r="AGB50" s="20"/>
      <c r="AGC50" s="20"/>
      <c r="AGD50" s="20"/>
      <c r="AGE50" s="20"/>
      <c r="AGF50" s="20"/>
      <c r="AGG50" s="20"/>
      <c r="AGH50" s="20"/>
      <c r="AGI50" s="20"/>
      <c r="AGJ50" s="20"/>
      <c r="AGK50" s="20"/>
      <c r="AGL50" s="20"/>
      <c r="AGM50" s="20"/>
      <c r="AGN50" s="20"/>
      <c r="AGO50" s="20"/>
      <c r="AGP50" s="20"/>
      <c r="AGQ50" s="20"/>
      <c r="AGR50" s="20"/>
      <c r="AGS50" s="20"/>
      <c r="AGT50" s="20"/>
      <c r="AGU50" s="20"/>
      <c r="AGV50" s="20"/>
      <c r="AGW50" s="20"/>
      <c r="AGX50" s="20"/>
      <c r="AGY50" s="20"/>
      <c r="AGZ50" s="20"/>
      <c r="AHA50" s="20"/>
      <c r="AHB50" s="20"/>
      <c r="AHC50" s="20"/>
      <c r="AHD50" s="20"/>
      <c r="AHE50" s="20"/>
      <c r="AHF50" s="20"/>
      <c r="AHG50" s="20"/>
      <c r="AHH50" s="20"/>
      <c r="AHI50" s="20"/>
      <c r="AHJ50" s="20"/>
      <c r="AHK50" s="20"/>
      <c r="AHL50" s="20"/>
      <c r="AHM50" s="20"/>
      <c r="AHN50" s="20"/>
      <c r="AHO50" s="20"/>
      <c r="AHP50" s="20"/>
      <c r="AHQ50" s="20"/>
      <c r="AHR50" s="20"/>
      <c r="AHS50" s="20"/>
      <c r="AHT50" s="20"/>
      <c r="AHU50" s="20"/>
      <c r="AHV50" s="20"/>
      <c r="AHW50" s="20"/>
      <c r="AHX50" s="20"/>
      <c r="AHY50" s="20"/>
      <c r="AHZ50" s="20"/>
      <c r="AIA50" s="20"/>
      <c r="AIB50" s="20"/>
      <c r="AIC50" s="20"/>
      <c r="AID50" s="20"/>
      <c r="AIE50" s="20"/>
      <c r="AIF50" s="20"/>
      <c r="AIG50" s="20"/>
      <c r="AIH50" s="20"/>
      <c r="AII50" s="20"/>
      <c r="AIJ50" s="20"/>
      <c r="AIK50" s="20"/>
      <c r="AIL50" s="20"/>
      <c r="AIM50" s="20"/>
      <c r="AIN50" s="20"/>
      <c r="AIO50" s="20"/>
      <c r="AIP50" s="20"/>
      <c r="AIQ50" s="20"/>
      <c r="AIR50" s="20"/>
      <c r="AIS50" s="20"/>
      <c r="AIT50" s="20"/>
      <c r="AIU50" s="20"/>
      <c r="AIV50" s="20"/>
      <c r="AIW50" s="20"/>
      <c r="AIX50" s="20"/>
      <c r="AIY50" s="20"/>
      <c r="AIZ50" s="20"/>
      <c r="AJA50" s="20"/>
      <c r="AJB50" s="20"/>
      <c r="AJC50" s="20"/>
      <c r="AJD50" s="20"/>
      <c r="AJE50" s="20"/>
      <c r="AJF50" s="20"/>
      <c r="AJG50" s="20"/>
      <c r="AJH50" s="20"/>
      <c r="AJI50" s="20"/>
      <c r="AJJ50" s="20"/>
      <c r="AJK50" s="20"/>
      <c r="AJL50" s="20"/>
      <c r="AJM50" s="20"/>
      <c r="AJN50" s="20"/>
      <c r="AJO50" s="20"/>
      <c r="AJP50" s="20"/>
      <c r="AJQ50" s="20"/>
      <c r="AJR50" s="20"/>
      <c r="AJS50" s="20"/>
      <c r="AJT50" s="20"/>
      <c r="AJU50" s="20"/>
      <c r="AJV50" s="20"/>
      <c r="AJW50" s="20"/>
      <c r="AJX50" s="20"/>
      <c r="AJY50" s="20"/>
      <c r="AJZ50" s="20"/>
      <c r="AKA50" s="20"/>
      <c r="AKB50" s="20"/>
      <c r="AKC50" s="20"/>
      <c r="AKD50" s="20"/>
      <c r="AKE50" s="20"/>
      <c r="AKF50" s="20"/>
      <c r="AKG50" s="20"/>
      <c r="AKH50" s="20"/>
      <c r="AKI50" s="20"/>
      <c r="AKJ50" s="20"/>
      <c r="AKK50" s="20"/>
      <c r="AKL50" s="20"/>
      <c r="AKM50" s="20"/>
      <c r="AKN50" s="20"/>
      <c r="AKO50" s="20"/>
      <c r="AKP50" s="20"/>
      <c r="AKQ50" s="20"/>
      <c r="AKR50" s="20"/>
      <c r="AKS50" s="20"/>
      <c r="AKT50" s="20"/>
      <c r="AKU50" s="20"/>
      <c r="AKV50" s="20"/>
      <c r="AKW50" s="20"/>
      <c r="AKX50" s="20"/>
      <c r="AKY50" s="20"/>
      <c r="AKZ50" s="20"/>
      <c r="ALA50" s="20"/>
      <c r="ALB50" s="20"/>
      <c r="ALC50" s="20"/>
      <c r="ALD50" s="20"/>
      <c r="ALE50" s="20"/>
      <c r="ALF50" s="20"/>
      <c r="ALG50" s="20"/>
      <c r="ALH50" s="20"/>
      <c r="ALI50" s="20"/>
      <c r="ALJ50" s="20"/>
      <c r="ALK50" s="20"/>
      <c r="ALL50" s="20"/>
      <c r="ALM50" s="20"/>
      <c r="ALN50" s="20"/>
      <c r="ALO50" s="20"/>
      <c r="ALP50" s="20"/>
      <c r="ALQ50" s="20"/>
      <c r="ALR50" s="20"/>
      <c r="ALS50" s="20"/>
      <c r="ALT50" s="20"/>
      <c r="ALU50" s="20"/>
      <c r="ALV50" s="20"/>
      <c r="ALW50" s="20"/>
      <c r="ALX50" s="20"/>
      <c r="ALY50" s="20"/>
      <c r="ALZ50" s="20"/>
      <c r="AMA50" s="20"/>
      <c r="AMB50" s="20"/>
      <c r="AMC50" s="20"/>
      <c r="AMD50" s="20"/>
      <c r="AME50" s="20"/>
      <c r="AMF50" s="20"/>
      <c r="AMG50" s="20"/>
      <c r="AMH50" s="20"/>
      <c r="AMI50" s="20"/>
      <c r="AMJ50" s="20"/>
      <c r="AMK50" s="20"/>
    </row>
    <row r="51" spans="1:1025" s="21" customFormat="1" ht="12.95" customHeight="1" x14ac:dyDescent="0.25">
      <c r="A51" s="26"/>
      <c r="B51" s="39" t="s">
        <v>261</v>
      </c>
      <c r="C51" s="27">
        <v>40</v>
      </c>
      <c r="D51" s="28">
        <v>10</v>
      </c>
      <c r="E51" s="28">
        <v>10</v>
      </c>
      <c r="F51" s="28">
        <v>17.5</v>
      </c>
      <c r="G51" s="28">
        <v>14.5</v>
      </c>
      <c r="H51" s="28">
        <f>10+15</f>
        <v>25</v>
      </c>
      <c r="I51" s="28">
        <f>2.5+0.87+10</f>
        <v>13.370000000000001</v>
      </c>
      <c r="J51" s="28">
        <f>2.5+10+6.9</f>
        <v>19.399999999999999</v>
      </c>
      <c r="K51" s="28">
        <v>11.35</v>
      </c>
      <c r="L51" s="28">
        <v>10</v>
      </c>
      <c r="M51" s="28">
        <v>15</v>
      </c>
      <c r="N51" s="28">
        <f>Таблица4[[#This Row],[Столбец13]]+Таблица4[[#This Row],[Столбец12]]+Таблица4[[#This Row],[Столбец11]]+Таблица4[[#This Row],[Столбец10]]+Таблица4[[#This Row],[Столбец9]]+Таблица4[[#This Row],[Столбец8]]+Таблица4[[#This Row],[Столбец7]]+Таблица4[[#This Row],[Столбец6]]+Таблица4[[#This Row],[Столбец5]]+Таблица4[[#This Row],[Столбец4]]</f>
        <v>146.12</v>
      </c>
      <c r="O51" s="28">
        <f>Таблица4[[#This Row],[Столбец14]]/10</f>
        <v>14.612</v>
      </c>
      <c r="P51" s="29">
        <f>O51-C51</f>
        <v>-25.387999999999998</v>
      </c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  <c r="TY51" s="20"/>
      <c r="TZ51" s="20"/>
      <c r="UA51" s="20"/>
      <c r="UB51" s="20"/>
      <c r="UC51" s="20"/>
      <c r="UD51" s="20"/>
      <c r="UE51" s="20"/>
      <c r="UF51" s="20"/>
      <c r="UG51" s="20"/>
      <c r="UH51" s="20"/>
      <c r="UI51" s="20"/>
      <c r="UJ51" s="20"/>
      <c r="UK51" s="20"/>
      <c r="UL51" s="20"/>
      <c r="UM51" s="20"/>
      <c r="UN51" s="20"/>
      <c r="UO51" s="20"/>
      <c r="UP51" s="20"/>
      <c r="UQ51" s="20"/>
      <c r="UR51" s="20"/>
      <c r="US51" s="20"/>
      <c r="UT51" s="20"/>
      <c r="UU51" s="20"/>
      <c r="UV51" s="20"/>
      <c r="UW51" s="20"/>
      <c r="UX51" s="20"/>
      <c r="UY51" s="20"/>
      <c r="UZ51" s="20"/>
      <c r="VA51" s="20"/>
      <c r="VB51" s="20"/>
      <c r="VC51" s="20"/>
      <c r="VD51" s="20"/>
      <c r="VE51" s="20"/>
      <c r="VF51" s="20"/>
      <c r="VG51" s="20"/>
      <c r="VH51" s="20"/>
      <c r="VI51" s="20"/>
      <c r="VJ51" s="20"/>
      <c r="VK51" s="20"/>
      <c r="VL51" s="20"/>
      <c r="VM51" s="20"/>
      <c r="VN51" s="20"/>
      <c r="VO51" s="20"/>
      <c r="VP51" s="20"/>
      <c r="VQ51" s="20"/>
      <c r="VR51" s="20"/>
      <c r="VS51" s="20"/>
      <c r="VT51" s="20"/>
      <c r="VU51" s="20"/>
      <c r="VV51" s="20"/>
      <c r="VW51" s="20"/>
      <c r="VX51" s="20"/>
      <c r="VY51" s="20"/>
      <c r="VZ51" s="20"/>
      <c r="WA51" s="20"/>
      <c r="WB51" s="20"/>
      <c r="WC51" s="20"/>
      <c r="WD51" s="20"/>
      <c r="WE51" s="20"/>
      <c r="WF51" s="20"/>
      <c r="WG51" s="20"/>
      <c r="WH51" s="20"/>
      <c r="WI51" s="20"/>
      <c r="WJ51" s="20"/>
      <c r="WK51" s="20"/>
      <c r="WL51" s="20"/>
      <c r="WM51" s="20"/>
      <c r="WN51" s="20"/>
      <c r="WO51" s="20"/>
      <c r="WP51" s="20"/>
      <c r="WQ51" s="20"/>
      <c r="WR51" s="20"/>
      <c r="WS51" s="20"/>
      <c r="WT51" s="20"/>
      <c r="WU51" s="20"/>
      <c r="WV51" s="20"/>
      <c r="WW51" s="20"/>
      <c r="WX51" s="20"/>
      <c r="WY51" s="20"/>
      <c r="WZ51" s="20"/>
      <c r="XA51" s="20"/>
      <c r="XB51" s="20"/>
      <c r="XC51" s="20"/>
      <c r="XD51" s="20"/>
      <c r="XE51" s="20"/>
      <c r="XF51" s="20"/>
      <c r="XG51" s="20"/>
      <c r="XH51" s="20"/>
      <c r="XI51" s="20"/>
      <c r="XJ51" s="20"/>
      <c r="XK51" s="20"/>
      <c r="XL51" s="20"/>
      <c r="XM51" s="20"/>
      <c r="XN51" s="20"/>
      <c r="XO51" s="20"/>
      <c r="XP51" s="20"/>
      <c r="XQ51" s="20"/>
      <c r="XR51" s="20"/>
      <c r="XS51" s="20"/>
      <c r="XT51" s="20"/>
      <c r="XU51" s="20"/>
      <c r="XV51" s="20"/>
      <c r="XW51" s="20"/>
      <c r="XX51" s="20"/>
      <c r="XY51" s="20"/>
      <c r="XZ51" s="20"/>
      <c r="YA51" s="20"/>
      <c r="YB51" s="20"/>
      <c r="YC51" s="20"/>
      <c r="YD51" s="20"/>
      <c r="YE51" s="20"/>
      <c r="YF51" s="20"/>
      <c r="YG51" s="20"/>
      <c r="YH51" s="20"/>
      <c r="YI51" s="20"/>
      <c r="YJ51" s="20"/>
      <c r="YK51" s="20"/>
      <c r="YL51" s="20"/>
      <c r="YM51" s="20"/>
      <c r="YN51" s="20"/>
      <c r="YO51" s="20"/>
      <c r="YP51" s="20"/>
      <c r="YQ51" s="20"/>
      <c r="YR51" s="20"/>
      <c r="YS51" s="20"/>
      <c r="YT51" s="20"/>
      <c r="YU51" s="20"/>
      <c r="YV51" s="20"/>
      <c r="YW51" s="20"/>
      <c r="YX51" s="20"/>
      <c r="YY51" s="20"/>
      <c r="YZ51" s="20"/>
      <c r="ZA51" s="20"/>
      <c r="ZB51" s="20"/>
      <c r="ZC51" s="20"/>
      <c r="ZD51" s="20"/>
      <c r="ZE51" s="20"/>
      <c r="ZF51" s="20"/>
      <c r="ZG51" s="20"/>
      <c r="ZH51" s="20"/>
      <c r="ZI51" s="20"/>
      <c r="ZJ51" s="20"/>
      <c r="ZK51" s="20"/>
      <c r="ZL51" s="20"/>
      <c r="ZM51" s="20"/>
      <c r="ZN51" s="20"/>
      <c r="ZO51" s="20"/>
      <c r="ZP51" s="20"/>
      <c r="ZQ51" s="20"/>
      <c r="ZR51" s="20"/>
      <c r="ZS51" s="20"/>
      <c r="ZT51" s="20"/>
      <c r="ZU51" s="20"/>
      <c r="ZV51" s="20"/>
      <c r="ZW51" s="20"/>
      <c r="ZX51" s="20"/>
      <c r="ZY51" s="20"/>
      <c r="ZZ51" s="20"/>
      <c r="AAA51" s="20"/>
      <c r="AAB51" s="20"/>
      <c r="AAC51" s="20"/>
      <c r="AAD51" s="20"/>
      <c r="AAE51" s="20"/>
      <c r="AAF51" s="20"/>
      <c r="AAG51" s="20"/>
      <c r="AAH51" s="20"/>
      <c r="AAI51" s="20"/>
      <c r="AAJ51" s="20"/>
      <c r="AAK51" s="20"/>
      <c r="AAL51" s="20"/>
      <c r="AAM51" s="20"/>
      <c r="AAN51" s="20"/>
      <c r="AAO51" s="20"/>
      <c r="AAP51" s="20"/>
      <c r="AAQ51" s="20"/>
      <c r="AAR51" s="20"/>
      <c r="AAS51" s="20"/>
      <c r="AAT51" s="20"/>
      <c r="AAU51" s="20"/>
      <c r="AAV51" s="20"/>
      <c r="AAW51" s="20"/>
      <c r="AAX51" s="20"/>
      <c r="AAY51" s="20"/>
      <c r="AAZ51" s="20"/>
      <c r="ABA51" s="20"/>
      <c r="ABB51" s="20"/>
      <c r="ABC51" s="20"/>
      <c r="ABD51" s="20"/>
      <c r="ABE51" s="20"/>
      <c r="ABF51" s="20"/>
      <c r="ABG51" s="20"/>
      <c r="ABH51" s="20"/>
      <c r="ABI51" s="20"/>
      <c r="ABJ51" s="20"/>
      <c r="ABK51" s="20"/>
      <c r="ABL51" s="20"/>
      <c r="ABM51" s="20"/>
      <c r="ABN51" s="20"/>
      <c r="ABO51" s="20"/>
      <c r="ABP51" s="20"/>
      <c r="ABQ51" s="20"/>
      <c r="ABR51" s="20"/>
      <c r="ABS51" s="20"/>
      <c r="ABT51" s="20"/>
      <c r="ABU51" s="20"/>
      <c r="ABV51" s="20"/>
      <c r="ABW51" s="20"/>
      <c r="ABX51" s="20"/>
      <c r="ABY51" s="20"/>
      <c r="ABZ51" s="20"/>
      <c r="ACA51" s="20"/>
      <c r="ACB51" s="20"/>
      <c r="ACC51" s="20"/>
      <c r="ACD51" s="20"/>
      <c r="ACE51" s="20"/>
      <c r="ACF51" s="20"/>
      <c r="ACG51" s="20"/>
      <c r="ACH51" s="20"/>
      <c r="ACI51" s="20"/>
      <c r="ACJ51" s="20"/>
      <c r="ACK51" s="20"/>
      <c r="ACL51" s="20"/>
      <c r="ACM51" s="20"/>
      <c r="ACN51" s="20"/>
      <c r="ACO51" s="20"/>
      <c r="ACP51" s="20"/>
      <c r="ACQ51" s="20"/>
      <c r="ACR51" s="20"/>
      <c r="ACS51" s="20"/>
      <c r="ACT51" s="20"/>
      <c r="ACU51" s="20"/>
      <c r="ACV51" s="20"/>
      <c r="ACW51" s="20"/>
      <c r="ACX51" s="20"/>
      <c r="ACY51" s="20"/>
      <c r="ACZ51" s="20"/>
      <c r="ADA51" s="20"/>
      <c r="ADB51" s="20"/>
      <c r="ADC51" s="20"/>
      <c r="ADD51" s="20"/>
      <c r="ADE51" s="20"/>
      <c r="ADF51" s="20"/>
      <c r="ADG51" s="20"/>
      <c r="ADH51" s="20"/>
      <c r="ADI51" s="20"/>
      <c r="ADJ51" s="20"/>
      <c r="ADK51" s="20"/>
      <c r="ADL51" s="20"/>
      <c r="ADM51" s="20"/>
      <c r="ADN51" s="20"/>
      <c r="ADO51" s="20"/>
      <c r="ADP51" s="20"/>
      <c r="ADQ51" s="20"/>
      <c r="ADR51" s="20"/>
      <c r="ADS51" s="20"/>
      <c r="ADT51" s="20"/>
      <c r="ADU51" s="20"/>
      <c r="ADV51" s="20"/>
      <c r="ADW51" s="20"/>
      <c r="ADX51" s="20"/>
      <c r="ADY51" s="20"/>
      <c r="ADZ51" s="20"/>
      <c r="AEA51" s="20"/>
      <c r="AEB51" s="20"/>
      <c r="AEC51" s="20"/>
      <c r="AED51" s="20"/>
      <c r="AEE51" s="20"/>
      <c r="AEF51" s="20"/>
      <c r="AEG51" s="20"/>
      <c r="AEH51" s="20"/>
      <c r="AEI51" s="20"/>
      <c r="AEJ51" s="20"/>
      <c r="AEK51" s="20"/>
      <c r="AEL51" s="20"/>
      <c r="AEM51" s="20"/>
      <c r="AEN51" s="20"/>
      <c r="AEO51" s="20"/>
      <c r="AEP51" s="20"/>
      <c r="AEQ51" s="20"/>
      <c r="AER51" s="20"/>
      <c r="AES51" s="20"/>
      <c r="AET51" s="20"/>
      <c r="AEU51" s="20"/>
      <c r="AEV51" s="20"/>
      <c r="AEW51" s="20"/>
      <c r="AEX51" s="20"/>
      <c r="AEY51" s="20"/>
      <c r="AEZ51" s="20"/>
      <c r="AFA51" s="20"/>
      <c r="AFB51" s="20"/>
      <c r="AFC51" s="20"/>
      <c r="AFD51" s="20"/>
      <c r="AFE51" s="20"/>
      <c r="AFF51" s="20"/>
      <c r="AFG51" s="20"/>
      <c r="AFH51" s="20"/>
      <c r="AFI51" s="20"/>
      <c r="AFJ51" s="20"/>
      <c r="AFK51" s="20"/>
      <c r="AFL51" s="20"/>
      <c r="AFM51" s="20"/>
      <c r="AFN51" s="20"/>
      <c r="AFO51" s="20"/>
      <c r="AFP51" s="20"/>
      <c r="AFQ51" s="20"/>
      <c r="AFR51" s="20"/>
      <c r="AFS51" s="20"/>
      <c r="AFT51" s="20"/>
      <c r="AFU51" s="20"/>
      <c r="AFV51" s="20"/>
      <c r="AFW51" s="20"/>
      <c r="AFX51" s="20"/>
      <c r="AFY51" s="20"/>
      <c r="AFZ51" s="20"/>
      <c r="AGA51" s="20"/>
      <c r="AGB51" s="20"/>
      <c r="AGC51" s="20"/>
      <c r="AGD51" s="20"/>
      <c r="AGE51" s="20"/>
      <c r="AGF51" s="20"/>
      <c r="AGG51" s="20"/>
      <c r="AGH51" s="20"/>
      <c r="AGI51" s="20"/>
      <c r="AGJ51" s="20"/>
      <c r="AGK51" s="20"/>
      <c r="AGL51" s="20"/>
      <c r="AGM51" s="20"/>
      <c r="AGN51" s="20"/>
      <c r="AGO51" s="20"/>
      <c r="AGP51" s="20"/>
      <c r="AGQ51" s="20"/>
      <c r="AGR51" s="20"/>
      <c r="AGS51" s="20"/>
      <c r="AGT51" s="20"/>
      <c r="AGU51" s="20"/>
      <c r="AGV51" s="20"/>
      <c r="AGW51" s="20"/>
      <c r="AGX51" s="20"/>
      <c r="AGY51" s="20"/>
      <c r="AGZ51" s="20"/>
      <c r="AHA51" s="20"/>
      <c r="AHB51" s="20"/>
      <c r="AHC51" s="20"/>
      <c r="AHD51" s="20"/>
      <c r="AHE51" s="20"/>
      <c r="AHF51" s="20"/>
      <c r="AHG51" s="20"/>
      <c r="AHH51" s="20"/>
      <c r="AHI51" s="20"/>
      <c r="AHJ51" s="20"/>
      <c r="AHK51" s="20"/>
      <c r="AHL51" s="20"/>
      <c r="AHM51" s="20"/>
      <c r="AHN51" s="20"/>
      <c r="AHO51" s="20"/>
      <c r="AHP51" s="20"/>
      <c r="AHQ51" s="20"/>
      <c r="AHR51" s="20"/>
      <c r="AHS51" s="20"/>
      <c r="AHT51" s="20"/>
      <c r="AHU51" s="20"/>
      <c r="AHV51" s="20"/>
      <c r="AHW51" s="20"/>
      <c r="AHX51" s="20"/>
      <c r="AHY51" s="20"/>
      <c r="AHZ51" s="20"/>
      <c r="AIA51" s="20"/>
      <c r="AIB51" s="20"/>
      <c r="AIC51" s="20"/>
      <c r="AID51" s="20"/>
      <c r="AIE51" s="20"/>
      <c r="AIF51" s="20"/>
      <c r="AIG51" s="20"/>
      <c r="AIH51" s="20"/>
      <c r="AII51" s="20"/>
      <c r="AIJ51" s="20"/>
      <c r="AIK51" s="20"/>
      <c r="AIL51" s="20"/>
      <c r="AIM51" s="20"/>
      <c r="AIN51" s="20"/>
      <c r="AIO51" s="20"/>
      <c r="AIP51" s="20"/>
      <c r="AIQ51" s="20"/>
      <c r="AIR51" s="20"/>
      <c r="AIS51" s="20"/>
      <c r="AIT51" s="20"/>
      <c r="AIU51" s="20"/>
      <c r="AIV51" s="20"/>
      <c r="AIW51" s="20"/>
      <c r="AIX51" s="20"/>
      <c r="AIY51" s="20"/>
      <c r="AIZ51" s="20"/>
      <c r="AJA51" s="20"/>
      <c r="AJB51" s="20"/>
      <c r="AJC51" s="20"/>
      <c r="AJD51" s="20"/>
      <c r="AJE51" s="20"/>
      <c r="AJF51" s="20"/>
      <c r="AJG51" s="20"/>
      <c r="AJH51" s="20"/>
      <c r="AJI51" s="20"/>
      <c r="AJJ51" s="20"/>
      <c r="AJK51" s="20"/>
      <c r="AJL51" s="20"/>
      <c r="AJM51" s="20"/>
      <c r="AJN51" s="20"/>
      <c r="AJO51" s="20"/>
      <c r="AJP51" s="20"/>
      <c r="AJQ51" s="20"/>
      <c r="AJR51" s="20"/>
      <c r="AJS51" s="20"/>
      <c r="AJT51" s="20"/>
      <c r="AJU51" s="20"/>
      <c r="AJV51" s="20"/>
      <c r="AJW51" s="20"/>
      <c r="AJX51" s="20"/>
      <c r="AJY51" s="20"/>
      <c r="AJZ51" s="20"/>
      <c r="AKA51" s="20"/>
      <c r="AKB51" s="20"/>
      <c r="AKC51" s="20"/>
      <c r="AKD51" s="20"/>
      <c r="AKE51" s="20"/>
      <c r="AKF51" s="20"/>
      <c r="AKG51" s="20"/>
      <c r="AKH51" s="20"/>
      <c r="AKI51" s="20"/>
      <c r="AKJ51" s="20"/>
      <c r="AKK51" s="20"/>
      <c r="AKL51" s="20"/>
      <c r="AKM51" s="20"/>
      <c r="AKN51" s="20"/>
      <c r="AKO51" s="20"/>
      <c r="AKP51" s="20"/>
      <c r="AKQ51" s="20"/>
      <c r="AKR51" s="20"/>
      <c r="AKS51" s="20"/>
      <c r="AKT51" s="20"/>
      <c r="AKU51" s="20"/>
      <c r="AKV51" s="20"/>
      <c r="AKW51" s="20"/>
      <c r="AKX51" s="20"/>
      <c r="AKY51" s="20"/>
      <c r="AKZ51" s="20"/>
      <c r="ALA51" s="20"/>
      <c r="ALB51" s="20"/>
      <c r="ALC51" s="20"/>
      <c r="ALD51" s="20"/>
      <c r="ALE51" s="20"/>
      <c r="ALF51" s="20"/>
      <c r="ALG51" s="20"/>
      <c r="ALH51" s="20"/>
      <c r="ALI51" s="20"/>
      <c r="ALJ51" s="20"/>
      <c r="ALK51" s="20"/>
      <c r="ALL51" s="20"/>
      <c r="ALM51" s="20"/>
      <c r="ALN51" s="20"/>
      <c r="ALO51" s="20"/>
      <c r="ALP51" s="20"/>
      <c r="ALQ51" s="20"/>
      <c r="ALR51" s="20"/>
      <c r="ALS51" s="20"/>
      <c r="ALT51" s="20"/>
      <c r="ALU51" s="20"/>
      <c r="ALV51" s="20"/>
      <c r="ALW51" s="20"/>
      <c r="ALX51" s="20"/>
      <c r="ALY51" s="20"/>
      <c r="ALZ51" s="20"/>
      <c r="AMA51" s="20"/>
      <c r="AMB51" s="20"/>
      <c r="AMC51" s="20"/>
      <c r="AMD51" s="20"/>
      <c r="AME51" s="20"/>
      <c r="AMF51" s="20"/>
      <c r="AMG51" s="20"/>
      <c r="AMH51" s="20"/>
      <c r="AMI51" s="20"/>
      <c r="AMJ51" s="20"/>
      <c r="AMK51" s="20"/>
    </row>
    <row r="52" spans="1:1025" s="21" customFormat="1" ht="12.95" customHeight="1" x14ac:dyDescent="0.25">
      <c r="A52" s="22">
        <v>24</v>
      </c>
      <c r="B52" s="38" t="s">
        <v>260</v>
      </c>
      <c r="C52" s="23">
        <v>10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5">
        <f t="shared" si="2"/>
        <v>-10</v>
      </c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  <c r="TK52" s="20"/>
      <c r="TL52" s="20"/>
      <c r="TM52" s="20"/>
      <c r="TN52" s="20"/>
      <c r="TO52" s="20"/>
      <c r="TP52" s="20"/>
      <c r="TQ52" s="20"/>
      <c r="TR52" s="20"/>
      <c r="TS52" s="20"/>
      <c r="TT52" s="20"/>
      <c r="TU52" s="20"/>
      <c r="TV52" s="20"/>
      <c r="TW52" s="20"/>
      <c r="TX52" s="20"/>
      <c r="TY52" s="20"/>
      <c r="TZ52" s="20"/>
      <c r="UA52" s="20"/>
      <c r="UB52" s="20"/>
      <c r="UC52" s="20"/>
      <c r="UD52" s="20"/>
      <c r="UE52" s="20"/>
      <c r="UF52" s="20"/>
      <c r="UG52" s="20"/>
      <c r="UH52" s="20"/>
      <c r="UI52" s="20"/>
      <c r="UJ52" s="20"/>
      <c r="UK52" s="20"/>
      <c r="UL52" s="20"/>
      <c r="UM52" s="20"/>
      <c r="UN52" s="20"/>
      <c r="UO52" s="20"/>
      <c r="UP52" s="20"/>
      <c r="UQ52" s="20"/>
      <c r="UR52" s="20"/>
      <c r="US52" s="20"/>
      <c r="UT52" s="20"/>
      <c r="UU52" s="20"/>
      <c r="UV52" s="20"/>
      <c r="UW52" s="20"/>
      <c r="UX52" s="20"/>
      <c r="UY52" s="20"/>
      <c r="UZ52" s="20"/>
      <c r="VA52" s="20"/>
      <c r="VB52" s="20"/>
      <c r="VC52" s="20"/>
      <c r="VD52" s="20"/>
      <c r="VE52" s="20"/>
      <c r="VF52" s="20"/>
      <c r="VG52" s="20"/>
      <c r="VH52" s="20"/>
      <c r="VI52" s="20"/>
      <c r="VJ52" s="20"/>
      <c r="VK52" s="20"/>
      <c r="VL52" s="20"/>
      <c r="VM52" s="20"/>
      <c r="VN52" s="20"/>
      <c r="VO52" s="20"/>
      <c r="VP52" s="20"/>
      <c r="VQ52" s="20"/>
      <c r="VR52" s="20"/>
      <c r="VS52" s="20"/>
      <c r="VT52" s="20"/>
      <c r="VU52" s="20"/>
      <c r="VV52" s="20"/>
      <c r="VW52" s="20"/>
      <c r="VX52" s="20"/>
      <c r="VY52" s="20"/>
      <c r="VZ52" s="20"/>
      <c r="WA52" s="20"/>
      <c r="WB52" s="20"/>
      <c r="WC52" s="20"/>
      <c r="WD52" s="20"/>
      <c r="WE52" s="20"/>
      <c r="WF52" s="20"/>
      <c r="WG52" s="20"/>
      <c r="WH52" s="20"/>
      <c r="WI52" s="20"/>
      <c r="WJ52" s="20"/>
      <c r="WK52" s="20"/>
      <c r="WL52" s="20"/>
      <c r="WM52" s="20"/>
      <c r="WN52" s="20"/>
      <c r="WO52" s="20"/>
      <c r="WP52" s="20"/>
      <c r="WQ52" s="20"/>
      <c r="WR52" s="20"/>
      <c r="WS52" s="20"/>
      <c r="WT52" s="20"/>
      <c r="WU52" s="20"/>
      <c r="WV52" s="20"/>
      <c r="WW52" s="20"/>
      <c r="WX52" s="20"/>
      <c r="WY52" s="20"/>
      <c r="WZ52" s="20"/>
      <c r="XA52" s="20"/>
      <c r="XB52" s="20"/>
      <c r="XC52" s="20"/>
      <c r="XD52" s="20"/>
      <c r="XE52" s="20"/>
      <c r="XF52" s="20"/>
      <c r="XG52" s="20"/>
      <c r="XH52" s="20"/>
      <c r="XI52" s="20"/>
      <c r="XJ52" s="20"/>
      <c r="XK52" s="20"/>
      <c r="XL52" s="20"/>
      <c r="XM52" s="20"/>
      <c r="XN52" s="20"/>
      <c r="XO52" s="20"/>
      <c r="XP52" s="20"/>
      <c r="XQ52" s="20"/>
      <c r="XR52" s="20"/>
      <c r="XS52" s="20"/>
      <c r="XT52" s="20"/>
      <c r="XU52" s="20"/>
      <c r="XV52" s="20"/>
      <c r="XW52" s="20"/>
      <c r="XX52" s="20"/>
      <c r="XY52" s="20"/>
      <c r="XZ52" s="20"/>
      <c r="YA52" s="20"/>
      <c r="YB52" s="20"/>
      <c r="YC52" s="20"/>
      <c r="YD52" s="20"/>
      <c r="YE52" s="20"/>
      <c r="YF52" s="20"/>
      <c r="YG52" s="20"/>
      <c r="YH52" s="20"/>
      <c r="YI52" s="20"/>
      <c r="YJ52" s="20"/>
      <c r="YK52" s="20"/>
      <c r="YL52" s="20"/>
      <c r="YM52" s="20"/>
      <c r="YN52" s="20"/>
      <c r="YO52" s="20"/>
      <c r="YP52" s="20"/>
      <c r="YQ52" s="20"/>
      <c r="YR52" s="20"/>
      <c r="YS52" s="20"/>
      <c r="YT52" s="20"/>
      <c r="YU52" s="20"/>
      <c r="YV52" s="20"/>
      <c r="YW52" s="20"/>
      <c r="YX52" s="20"/>
      <c r="YY52" s="20"/>
      <c r="YZ52" s="20"/>
      <c r="ZA52" s="20"/>
      <c r="ZB52" s="20"/>
      <c r="ZC52" s="20"/>
      <c r="ZD52" s="20"/>
      <c r="ZE52" s="20"/>
      <c r="ZF52" s="20"/>
      <c r="ZG52" s="20"/>
      <c r="ZH52" s="20"/>
      <c r="ZI52" s="20"/>
      <c r="ZJ52" s="20"/>
      <c r="ZK52" s="20"/>
      <c r="ZL52" s="20"/>
      <c r="ZM52" s="20"/>
      <c r="ZN52" s="20"/>
      <c r="ZO52" s="20"/>
      <c r="ZP52" s="20"/>
      <c r="ZQ52" s="20"/>
      <c r="ZR52" s="20"/>
      <c r="ZS52" s="20"/>
      <c r="ZT52" s="20"/>
      <c r="ZU52" s="20"/>
      <c r="ZV52" s="20"/>
      <c r="ZW52" s="20"/>
      <c r="ZX52" s="20"/>
      <c r="ZY52" s="20"/>
      <c r="ZZ52" s="20"/>
      <c r="AAA52" s="20"/>
      <c r="AAB52" s="20"/>
      <c r="AAC52" s="20"/>
      <c r="AAD52" s="20"/>
      <c r="AAE52" s="20"/>
      <c r="AAF52" s="20"/>
      <c r="AAG52" s="20"/>
      <c r="AAH52" s="20"/>
      <c r="AAI52" s="20"/>
      <c r="AAJ52" s="20"/>
      <c r="AAK52" s="20"/>
      <c r="AAL52" s="20"/>
      <c r="AAM52" s="20"/>
      <c r="AAN52" s="20"/>
      <c r="AAO52" s="20"/>
      <c r="AAP52" s="20"/>
      <c r="AAQ52" s="20"/>
      <c r="AAR52" s="20"/>
      <c r="AAS52" s="20"/>
      <c r="AAT52" s="20"/>
      <c r="AAU52" s="20"/>
      <c r="AAV52" s="20"/>
      <c r="AAW52" s="20"/>
      <c r="AAX52" s="20"/>
      <c r="AAY52" s="20"/>
      <c r="AAZ52" s="20"/>
      <c r="ABA52" s="20"/>
      <c r="ABB52" s="20"/>
      <c r="ABC52" s="20"/>
      <c r="ABD52" s="20"/>
      <c r="ABE52" s="20"/>
      <c r="ABF52" s="20"/>
      <c r="ABG52" s="20"/>
      <c r="ABH52" s="20"/>
      <c r="ABI52" s="20"/>
      <c r="ABJ52" s="20"/>
      <c r="ABK52" s="20"/>
      <c r="ABL52" s="20"/>
      <c r="ABM52" s="20"/>
      <c r="ABN52" s="20"/>
      <c r="ABO52" s="20"/>
      <c r="ABP52" s="20"/>
      <c r="ABQ52" s="20"/>
      <c r="ABR52" s="20"/>
      <c r="ABS52" s="20"/>
      <c r="ABT52" s="20"/>
      <c r="ABU52" s="20"/>
      <c r="ABV52" s="20"/>
      <c r="ABW52" s="20"/>
      <c r="ABX52" s="20"/>
      <c r="ABY52" s="20"/>
      <c r="ABZ52" s="20"/>
      <c r="ACA52" s="20"/>
      <c r="ACB52" s="20"/>
      <c r="ACC52" s="20"/>
      <c r="ACD52" s="20"/>
      <c r="ACE52" s="20"/>
      <c r="ACF52" s="20"/>
      <c r="ACG52" s="20"/>
      <c r="ACH52" s="20"/>
      <c r="ACI52" s="20"/>
      <c r="ACJ52" s="20"/>
      <c r="ACK52" s="20"/>
      <c r="ACL52" s="20"/>
      <c r="ACM52" s="20"/>
      <c r="ACN52" s="20"/>
      <c r="ACO52" s="20"/>
      <c r="ACP52" s="20"/>
      <c r="ACQ52" s="20"/>
      <c r="ACR52" s="20"/>
      <c r="ACS52" s="20"/>
      <c r="ACT52" s="20"/>
      <c r="ACU52" s="20"/>
      <c r="ACV52" s="20"/>
      <c r="ACW52" s="20"/>
      <c r="ACX52" s="20"/>
      <c r="ACY52" s="20"/>
      <c r="ACZ52" s="20"/>
      <c r="ADA52" s="20"/>
      <c r="ADB52" s="20"/>
      <c r="ADC52" s="20"/>
      <c r="ADD52" s="20"/>
      <c r="ADE52" s="20"/>
      <c r="ADF52" s="20"/>
      <c r="ADG52" s="20"/>
      <c r="ADH52" s="20"/>
      <c r="ADI52" s="20"/>
      <c r="ADJ52" s="20"/>
      <c r="ADK52" s="20"/>
      <c r="ADL52" s="20"/>
      <c r="ADM52" s="20"/>
      <c r="ADN52" s="20"/>
      <c r="ADO52" s="20"/>
      <c r="ADP52" s="20"/>
      <c r="ADQ52" s="20"/>
      <c r="ADR52" s="20"/>
      <c r="ADS52" s="20"/>
      <c r="ADT52" s="20"/>
      <c r="ADU52" s="20"/>
      <c r="ADV52" s="20"/>
      <c r="ADW52" s="20"/>
      <c r="ADX52" s="20"/>
      <c r="ADY52" s="20"/>
      <c r="ADZ52" s="20"/>
      <c r="AEA52" s="20"/>
      <c r="AEB52" s="20"/>
      <c r="AEC52" s="20"/>
      <c r="AED52" s="20"/>
      <c r="AEE52" s="20"/>
      <c r="AEF52" s="20"/>
      <c r="AEG52" s="20"/>
      <c r="AEH52" s="20"/>
      <c r="AEI52" s="20"/>
      <c r="AEJ52" s="20"/>
      <c r="AEK52" s="20"/>
      <c r="AEL52" s="20"/>
      <c r="AEM52" s="20"/>
      <c r="AEN52" s="20"/>
      <c r="AEO52" s="20"/>
      <c r="AEP52" s="20"/>
      <c r="AEQ52" s="20"/>
      <c r="AER52" s="20"/>
      <c r="AES52" s="20"/>
      <c r="AET52" s="20"/>
      <c r="AEU52" s="20"/>
      <c r="AEV52" s="20"/>
      <c r="AEW52" s="20"/>
      <c r="AEX52" s="20"/>
      <c r="AEY52" s="20"/>
      <c r="AEZ52" s="20"/>
      <c r="AFA52" s="20"/>
      <c r="AFB52" s="20"/>
      <c r="AFC52" s="20"/>
      <c r="AFD52" s="20"/>
      <c r="AFE52" s="20"/>
      <c r="AFF52" s="20"/>
      <c r="AFG52" s="20"/>
      <c r="AFH52" s="20"/>
      <c r="AFI52" s="20"/>
      <c r="AFJ52" s="20"/>
      <c r="AFK52" s="20"/>
      <c r="AFL52" s="20"/>
      <c r="AFM52" s="20"/>
      <c r="AFN52" s="20"/>
      <c r="AFO52" s="20"/>
      <c r="AFP52" s="20"/>
      <c r="AFQ52" s="20"/>
      <c r="AFR52" s="20"/>
      <c r="AFS52" s="20"/>
      <c r="AFT52" s="20"/>
      <c r="AFU52" s="20"/>
      <c r="AFV52" s="20"/>
      <c r="AFW52" s="20"/>
      <c r="AFX52" s="20"/>
      <c r="AFY52" s="20"/>
      <c r="AFZ52" s="20"/>
      <c r="AGA52" s="20"/>
      <c r="AGB52" s="20"/>
      <c r="AGC52" s="20"/>
      <c r="AGD52" s="20"/>
      <c r="AGE52" s="20"/>
      <c r="AGF52" s="20"/>
      <c r="AGG52" s="20"/>
      <c r="AGH52" s="20"/>
      <c r="AGI52" s="20"/>
      <c r="AGJ52" s="20"/>
      <c r="AGK52" s="20"/>
      <c r="AGL52" s="20"/>
      <c r="AGM52" s="20"/>
      <c r="AGN52" s="20"/>
      <c r="AGO52" s="20"/>
      <c r="AGP52" s="20"/>
      <c r="AGQ52" s="20"/>
      <c r="AGR52" s="20"/>
      <c r="AGS52" s="20"/>
      <c r="AGT52" s="20"/>
      <c r="AGU52" s="20"/>
      <c r="AGV52" s="20"/>
      <c r="AGW52" s="20"/>
      <c r="AGX52" s="20"/>
      <c r="AGY52" s="20"/>
      <c r="AGZ52" s="20"/>
      <c r="AHA52" s="20"/>
      <c r="AHB52" s="20"/>
      <c r="AHC52" s="20"/>
      <c r="AHD52" s="20"/>
      <c r="AHE52" s="20"/>
      <c r="AHF52" s="20"/>
      <c r="AHG52" s="20"/>
      <c r="AHH52" s="20"/>
      <c r="AHI52" s="20"/>
      <c r="AHJ52" s="20"/>
      <c r="AHK52" s="20"/>
      <c r="AHL52" s="20"/>
      <c r="AHM52" s="20"/>
      <c r="AHN52" s="20"/>
      <c r="AHO52" s="20"/>
      <c r="AHP52" s="20"/>
      <c r="AHQ52" s="20"/>
      <c r="AHR52" s="20"/>
      <c r="AHS52" s="20"/>
      <c r="AHT52" s="20"/>
      <c r="AHU52" s="20"/>
      <c r="AHV52" s="20"/>
      <c r="AHW52" s="20"/>
      <c r="AHX52" s="20"/>
      <c r="AHY52" s="20"/>
      <c r="AHZ52" s="20"/>
      <c r="AIA52" s="20"/>
      <c r="AIB52" s="20"/>
      <c r="AIC52" s="20"/>
      <c r="AID52" s="20"/>
      <c r="AIE52" s="20"/>
      <c r="AIF52" s="20"/>
      <c r="AIG52" s="20"/>
      <c r="AIH52" s="20"/>
      <c r="AII52" s="20"/>
      <c r="AIJ52" s="20"/>
      <c r="AIK52" s="20"/>
      <c r="AIL52" s="20"/>
      <c r="AIM52" s="20"/>
      <c r="AIN52" s="20"/>
      <c r="AIO52" s="20"/>
      <c r="AIP52" s="20"/>
      <c r="AIQ52" s="20"/>
      <c r="AIR52" s="20"/>
      <c r="AIS52" s="20"/>
      <c r="AIT52" s="20"/>
      <c r="AIU52" s="20"/>
      <c r="AIV52" s="20"/>
      <c r="AIW52" s="20"/>
      <c r="AIX52" s="20"/>
      <c r="AIY52" s="20"/>
      <c r="AIZ52" s="20"/>
      <c r="AJA52" s="20"/>
      <c r="AJB52" s="20"/>
      <c r="AJC52" s="20"/>
      <c r="AJD52" s="20"/>
      <c r="AJE52" s="20"/>
      <c r="AJF52" s="20"/>
      <c r="AJG52" s="20"/>
      <c r="AJH52" s="20"/>
      <c r="AJI52" s="20"/>
      <c r="AJJ52" s="20"/>
      <c r="AJK52" s="20"/>
      <c r="AJL52" s="20"/>
      <c r="AJM52" s="20"/>
      <c r="AJN52" s="20"/>
      <c r="AJO52" s="20"/>
      <c r="AJP52" s="20"/>
      <c r="AJQ52" s="20"/>
      <c r="AJR52" s="20"/>
      <c r="AJS52" s="20"/>
      <c r="AJT52" s="20"/>
      <c r="AJU52" s="20"/>
      <c r="AJV52" s="20"/>
      <c r="AJW52" s="20"/>
      <c r="AJX52" s="20"/>
      <c r="AJY52" s="20"/>
      <c r="AJZ52" s="20"/>
      <c r="AKA52" s="20"/>
      <c r="AKB52" s="20"/>
      <c r="AKC52" s="20"/>
      <c r="AKD52" s="20"/>
      <c r="AKE52" s="20"/>
      <c r="AKF52" s="20"/>
      <c r="AKG52" s="20"/>
      <c r="AKH52" s="20"/>
      <c r="AKI52" s="20"/>
      <c r="AKJ52" s="20"/>
      <c r="AKK52" s="20"/>
      <c r="AKL52" s="20"/>
      <c r="AKM52" s="20"/>
      <c r="AKN52" s="20"/>
      <c r="AKO52" s="20"/>
      <c r="AKP52" s="20"/>
      <c r="AKQ52" s="20"/>
      <c r="AKR52" s="20"/>
      <c r="AKS52" s="20"/>
      <c r="AKT52" s="20"/>
      <c r="AKU52" s="20"/>
      <c r="AKV52" s="20"/>
      <c r="AKW52" s="20"/>
      <c r="AKX52" s="20"/>
      <c r="AKY52" s="20"/>
      <c r="AKZ52" s="20"/>
      <c r="ALA52" s="20"/>
      <c r="ALB52" s="20"/>
      <c r="ALC52" s="20"/>
      <c r="ALD52" s="20"/>
      <c r="ALE52" s="20"/>
      <c r="ALF52" s="20"/>
      <c r="ALG52" s="20"/>
      <c r="ALH52" s="20"/>
      <c r="ALI52" s="20"/>
      <c r="ALJ52" s="20"/>
      <c r="ALK52" s="20"/>
      <c r="ALL52" s="20"/>
      <c r="ALM52" s="20"/>
      <c r="ALN52" s="20"/>
      <c r="ALO52" s="20"/>
      <c r="ALP52" s="20"/>
      <c r="ALQ52" s="20"/>
      <c r="ALR52" s="20"/>
      <c r="ALS52" s="20"/>
      <c r="ALT52" s="20"/>
      <c r="ALU52" s="20"/>
      <c r="ALV52" s="20"/>
      <c r="ALW52" s="20"/>
      <c r="ALX52" s="20"/>
      <c r="ALY52" s="20"/>
      <c r="ALZ52" s="20"/>
      <c r="AMA52" s="20"/>
      <c r="AMB52" s="20"/>
      <c r="AMC52" s="20"/>
      <c r="AMD52" s="20"/>
      <c r="AME52" s="20"/>
      <c r="AMF52" s="20"/>
      <c r="AMG52" s="20"/>
      <c r="AMH52" s="20"/>
      <c r="AMI52" s="20"/>
      <c r="AMJ52" s="20"/>
      <c r="AMK52" s="20"/>
    </row>
    <row r="53" spans="1:1025" s="21" customFormat="1" ht="12.95" customHeight="1" x14ac:dyDescent="0.25">
      <c r="A53" s="26"/>
      <c r="B53" s="39" t="s">
        <v>260</v>
      </c>
      <c r="C53" s="27">
        <v>10</v>
      </c>
      <c r="D53" s="28">
        <v>30</v>
      </c>
      <c r="E53" s="28"/>
      <c r="F53" s="28">
        <v>100</v>
      </c>
      <c r="G53" s="28">
        <v>30</v>
      </c>
      <c r="H53" s="28"/>
      <c r="I53" s="28">
        <v>45</v>
      </c>
      <c r="J53" s="28">
        <v>100</v>
      </c>
      <c r="K53" s="28">
        <v>30</v>
      </c>
      <c r="L53" s="28"/>
      <c r="M53" s="28">
        <v>30</v>
      </c>
      <c r="N53" s="28">
        <f>Таблица4[[#This Row],[Столбец13]]+Таблица4[[#This Row],[Столбец11]]+Таблица4[[#This Row],[Столбец10]]+Таблица4[[#This Row],[Столбец9]]+Таблица4[[#This Row],[Столбец7]]+Таблица4[[#This Row],[Столбец6]]+Таблица4[[#This Row],[Столбец4]]</f>
        <v>365</v>
      </c>
      <c r="O53" s="28">
        <f>Таблица4[[#This Row],[Столбец14]]/10</f>
        <v>36.5</v>
      </c>
      <c r="P53" s="29">
        <f>O53-C53</f>
        <v>26.5</v>
      </c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  <c r="ZH53" s="20"/>
      <c r="ZI53" s="20"/>
      <c r="ZJ53" s="20"/>
      <c r="ZK53" s="20"/>
      <c r="ZL53" s="20"/>
      <c r="ZM53" s="20"/>
      <c r="ZN53" s="20"/>
      <c r="ZO53" s="20"/>
      <c r="ZP53" s="20"/>
      <c r="ZQ53" s="20"/>
      <c r="ZR53" s="20"/>
      <c r="ZS53" s="20"/>
      <c r="ZT53" s="20"/>
      <c r="ZU53" s="20"/>
      <c r="ZV53" s="20"/>
      <c r="ZW53" s="20"/>
      <c r="ZX53" s="20"/>
      <c r="ZY53" s="20"/>
      <c r="ZZ53" s="20"/>
      <c r="AAA53" s="20"/>
      <c r="AAB53" s="20"/>
      <c r="AAC53" s="20"/>
      <c r="AAD53" s="20"/>
      <c r="AAE53" s="20"/>
      <c r="AAF53" s="20"/>
      <c r="AAG53" s="20"/>
      <c r="AAH53" s="20"/>
      <c r="AAI53" s="20"/>
      <c r="AAJ53" s="20"/>
      <c r="AAK53" s="20"/>
      <c r="AAL53" s="20"/>
      <c r="AAM53" s="20"/>
      <c r="AAN53" s="20"/>
      <c r="AAO53" s="20"/>
      <c r="AAP53" s="20"/>
      <c r="AAQ53" s="20"/>
      <c r="AAR53" s="20"/>
      <c r="AAS53" s="20"/>
      <c r="AAT53" s="20"/>
      <c r="AAU53" s="20"/>
      <c r="AAV53" s="20"/>
      <c r="AAW53" s="20"/>
      <c r="AAX53" s="20"/>
      <c r="AAY53" s="20"/>
      <c r="AAZ53" s="20"/>
      <c r="ABA53" s="20"/>
      <c r="ABB53" s="20"/>
      <c r="ABC53" s="20"/>
      <c r="ABD53" s="20"/>
      <c r="ABE53" s="20"/>
      <c r="ABF53" s="20"/>
      <c r="ABG53" s="20"/>
      <c r="ABH53" s="20"/>
      <c r="ABI53" s="20"/>
      <c r="ABJ53" s="20"/>
      <c r="ABK53" s="20"/>
      <c r="ABL53" s="20"/>
      <c r="ABM53" s="20"/>
      <c r="ABN53" s="20"/>
      <c r="ABO53" s="20"/>
      <c r="ABP53" s="20"/>
      <c r="ABQ53" s="20"/>
      <c r="ABR53" s="20"/>
      <c r="ABS53" s="20"/>
      <c r="ABT53" s="20"/>
      <c r="ABU53" s="20"/>
      <c r="ABV53" s="20"/>
      <c r="ABW53" s="20"/>
      <c r="ABX53" s="20"/>
      <c r="ABY53" s="20"/>
      <c r="ABZ53" s="20"/>
      <c r="ACA53" s="20"/>
      <c r="ACB53" s="20"/>
      <c r="ACC53" s="20"/>
      <c r="ACD53" s="20"/>
      <c r="ACE53" s="20"/>
      <c r="ACF53" s="20"/>
      <c r="ACG53" s="20"/>
      <c r="ACH53" s="20"/>
      <c r="ACI53" s="20"/>
      <c r="ACJ53" s="20"/>
      <c r="ACK53" s="20"/>
      <c r="ACL53" s="20"/>
      <c r="ACM53" s="20"/>
      <c r="ACN53" s="20"/>
      <c r="ACO53" s="20"/>
      <c r="ACP53" s="20"/>
      <c r="ACQ53" s="20"/>
      <c r="ACR53" s="20"/>
      <c r="ACS53" s="20"/>
      <c r="ACT53" s="20"/>
      <c r="ACU53" s="20"/>
      <c r="ACV53" s="20"/>
      <c r="ACW53" s="20"/>
      <c r="ACX53" s="20"/>
      <c r="ACY53" s="20"/>
      <c r="ACZ53" s="20"/>
      <c r="ADA53" s="20"/>
      <c r="ADB53" s="20"/>
      <c r="ADC53" s="20"/>
      <c r="ADD53" s="20"/>
      <c r="ADE53" s="20"/>
      <c r="ADF53" s="20"/>
      <c r="ADG53" s="20"/>
      <c r="ADH53" s="20"/>
      <c r="ADI53" s="20"/>
      <c r="ADJ53" s="20"/>
      <c r="ADK53" s="20"/>
      <c r="ADL53" s="20"/>
      <c r="ADM53" s="20"/>
      <c r="ADN53" s="20"/>
      <c r="ADO53" s="20"/>
      <c r="ADP53" s="20"/>
      <c r="ADQ53" s="20"/>
      <c r="ADR53" s="20"/>
      <c r="ADS53" s="20"/>
      <c r="ADT53" s="20"/>
      <c r="ADU53" s="20"/>
      <c r="ADV53" s="20"/>
      <c r="ADW53" s="20"/>
      <c r="ADX53" s="20"/>
      <c r="ADY53" s="20"/>
      <c r="ADZ53" s="20"/>
      <c r="AEA53" s="20"/>
      <c r="AEB53" s="20"/>
      <c r="AEC53" s="20"/>
      <c r="AED53" s="20"/>
      <c r="AEE53" s="20"/>
      <c r="AEF53" s="20"/>
      <c r="AEG53" s="20"/>
      <c r="AEH53" s="20"/>
      <c r="AEI53" s="20"/>
      <c r="AEJ53" s="20"/>
      <c r="AEK53" s="20"/>
      <c r="AEL53" s="20"/>
      <c r="AEM53" s="20"/>
      <c r="AEN53" s="20"/>
      <c r="AEO53" s="20"/>
      <c r="AEP53" s="20"/>
      <c r="AEQ53" s="20"/>
      <c r="AER53" s="20"/>
      <c r="AES53" s="20"/>
      <c r="AET53" s="20"/>
      <c r="AEU53" s="20"/>
      <c r="AEV53" s="20"/>
      <c r="AEW53" s="20"/>
      <c r="AEX53" s="20"/>
      <c r="AEY53" s="20"/>
      <c r="AEZ53" s="20"/>
      <c r="AFA53" s="20"/>
      <c r="AFB53" s="20"/>
      <c r="AFC53" s="20"/>
      <c r="AFD53" s="20"/>
      <c r="AFE53" s="20"/>
      <c r="AFF53" s="20"/>
      <c r="AFG53" s="20"/>
      <c r="AFH53" s="20"/>
      <c r="AFI53" s="20"/>
      <c r="AFJ53" s="20"/>
      <c r="AFK53" s="20"/>
      <c r="AFL53" s="20"/>
      <c r="AFM53" s="20"/>
      <c r="AFN53" s="20"/>
      <c r="AFO53" s="20"/>
      <c r="AFP53" s="20"/>
      <c r="AFQ53" s="20"/>
      <c r="AFR53" s="20"/>
      <c r="AFS53" s="20"/>
      <c r="AFT53" s="20"/>
      <c r="AFU53" s="20"/>
      <c r="AFV53" s="20"/>
      <c r="AFW53" s="20"/>
      <c r="AFX53" s="20"/>
      <c r="AFY53" s="20"/>
      <c r="AFZ53" s="20"/>
      <c r="AGA53" s="20"/>
      <c r="AGB53" s="20"/>
      <c r="AGC53" s="20"/>
      <c r="AGD53" s="20"/>
      <c r="AGE53" s="20"/>
      <c r="AGF53" s="20"/>
      <c r="AGG53" s="20"/>
      <c r="AGH53" s="20"/>
      <c r="AGI53" s="20"/>
      <c r="AGJ53" s="20"/>
      <c r="AGK53" s="20"/>
      <c r="AGL53" s="20"/>
      <c r="AGM53" s="20"/>
      <c r="AGN53" s="20"/>
      <c r="AGO53" s="20"/>
      <c r="AGP53" s="20"/>
      <c r="AGQ53" s="20"/>
      <c r="AGR53" s="20"/>
      <c r="AGS53" s="20"/>
      <c r="AGT53" s="20"/>
      <c r="AGU53" s="20"/>
      <c r="AGV53" s="20"/>
      <c r="AGW53" s="20"/>
      <c r="AGX53" s="20"/>
      <c r="AGY53" s="20"/>
      <c r="AGZ53" s="20"/>
      <c r="AHA53" s="20"/>
      <c r="AHB53" s="20"/>
      <c r="AHC53" s="20"/>
      <c r="AHD53" s="20"/>
      <c r="AHE53" s="20"/>
      <c r="AHF53" s="20"/>
      <c r="AHG53" s="20"/>
      <c r="AHH53" s="20"/>
      <c r="AHI53" s="20"/>
      <c r="AHJ53" s="20"/>
      <c r="AHK53" s="20"/>
      <c r="AHL53" s="20"/>
      <c r="AHM53" s="20"/>
      <c r="AHN53" s="20"/>
      <c r="AHO53" s="20"/>
      <c r="AHP53" s="20"/>
      <c r="AHQ53" s="20"/>
      <c r="AHR53" s="20"/>
      <c r="AHS53" s="20"/>
      <c r="AHT53" s="20"/>
      <c r="AHU53" s="20"/>
      <c r="AHV53" s="20"/>
      <c r="AHW53" s="20"/>
      <c r="AHX53" s="20"/>
      <c r="AHY53" s="20"/>
      <c r="AHZ53" s="20"/>
      <c r="AIA53" s="20"/>
      <c r="AIB53" s="20"/>
      <c r="AIC53" s="20"/>
      <c r="AID53" s="20"/>
      <c r="AIE53" s="20"/>
      <c r="AIF53" s="20"/>
      <c r="AIG53" s="20"/>
      <c r="AIH53" s="20"/>
      <c r="AII53" s="20"/>
      <c r="AIJ53" s="20"/>
      <c r="AIK53" s="20"/>
      <c r="AIL53" s="20"/>
      <c r="AIM53" s="20"/>
      <c r="AIN53" s="20"/>
      <c r="AIO53" s="20"/>
      <c r="AIP53" s="20"/>
      <c r="AIQ53" s="20"/>
      <c r="AIR53" s="20"/>
      <c r="AIS53" s="20"/>
      <c r="AIT53" s="20"/>
      <c r="AIU53" s="20"/>
      <c r="AIV53" s="20"/>
      <c r="AIW53" s="20"/>
      <c r="AIX53" s="20"/>
      <c r="AIY53" s="20"/>
      <c r="AIZ53" s="20"/>
      <c r="AJA53" s="20"/>
      <c r="AJB53" s="20"/>
      <c r="AJC53" s="20"/>
      <c r="AJD53" s="20"/>
      <c r="AJE53" s="20"/>
      <c r="AJF53" s="20"/>
      <c r="AJG53" s="20"/>
      <c r="AJH53" s="20"/>
      <c r="AJI53" s="20"/>
      <c r="AJJ53" s="20"/>
      <c r="AJK53" s="20"/>
      <c r="AJL53" s="20"/>
      <c r="AJM53" s="20"/>
      <c r="AJN53" s="20"/>
      <c r="AJO53" s="20"/>
      <c r="AJP53" s="20"/>
      <c r="AJQ53" s="20"/>
      <c r="AJR53" s="20"/>
      <c r="AJS53" s="20"/>
      <c r="AJT53" s="20"/>
      <c r="AJU53" s="20"/>
      <c r="AJV53" s="20"/>
      <c r="AJW53" s="20"/>
      <c r="AJX53" s="20"/>
      <c r="AJY53" s="20"/>
      <c r="AJZ53" s="20"/>
      <c r="AKA53" s="20"/>
      <c r="AKB53" s="20"/>
      <c r="AKC53" s="20"/>
      <c r="AKD53" s="20"/>
      <c r="AKE53" s="20"/>
      <c r="AKF53" s="20"/>
      <c r="AKG53" s="20"/>
      <c r="AKH53" s="20"/>
      <c r="AKI53" s="20"/>
      <c r="AKJ53" s="20"/>
      <c r="AKK53" s="20"/>
      <c r="AKL53" s="20"/>
      <c r="AKM53" s="20"/>
      <c r="AKN53" s="20"/>
      <c r="AKO53" s="20"/>
      <c r="AKP53" s="20"/>
      <c r="AKQ53" s="20"/>
      <c r="AKR53" s="20"/>
      <c r="AKS53" s="20"/>
      <c r="AKT53" s="20"/>
      <c r="AKU53" s="20"/>
      <c r="AKV53" s="20"/>
      <c r="AKW53" s="20"/>
      <c r="AKX53" s="20"/>
      <c r="AKY53" s="20"/>
      <c r="AKZ53" s="20"/>
      <c r="ALA53" s="20"/>
      <c r="ALB53" s="20"/>
      <c r="ALC53" s="20"/>
      <c r="ALD53" s="20"/>
      <c r="ALE53" s="20"/>
      <c r="ALF53" s="20"/>
      <c r="ALG53" s="20"/>
      <c r="ALH53" s="20"/>
      <c r="ALI53" s="20"/>
      <c r="ALJ53" s="20"/>
      <c r="ALK53" s="20"/>
      <c r="ALL53" s="20"/>
      <c r="ALM53" s="20"/>
      <c r="ALN53" s="20"/>
      <c r="ALO53" s="20"/>
      <c r="ALP53" s="20"/>
      <c r="ALQ53" s="20"/>
      <c r="ALR53" s="20"/>
      <c r="ALS53" s="20"/>
      <c r="ALT53" s="20"/>
      <c r="ALU53" s="20"/>
      <c r="ALV53" s="20"/>
      <c r="ALW53" s="20"/>
      <c r="ALX53" s="20"/>
      <c r="ALY53" s="20"/>
      <c r="ALZ53" s="20"/>
      <c r="AMA53" s="20"/>
      <c r="AMB53" s="20"/>
      <c r="AMC53" s="20"/>
      <c r="AMD53" s="20"/>
      <c r="AME53" s="20"/>
      <c r="AMF53" s="20"/>
      <c r="AMG53" s="20"/>
      <c r="AMH53" s="20"/>
      <c r="AMI53" s="20"/>
      <c r="AMJ53" s="20"/>
      <c r="AMK53" s="20"/>
    </row>
    <row r="54" spans="1:1025" s="21" customFormat="1" ht="12.95" customHeight="1" x14ac:dyDescent="0.25">
      <c r="A54" s="22">
        <v>25</v>
      </c>
      <c r="B54" s="38" t="s">
        <v>259</v>
      </c>
      <c r="C54" s="23">
        <v>0.4</v>
      </c>
      <c r="D54" s="24"/>
      <c r="E54" s="24">
        <v>1</v>
      </c>
      <c r="F54" s="24"/>
      <c r="G54" s="24">
        <v>0</v>
      </c>
      <c r="H54" s="24">
        <v>1</v>
      </c>
      <c r="I54" s="24">
        <v>1</v>
      </c>
      <c r="J54" s="24"/>
      <c r="K54" s="24">
        <v>1</v>
      </c>
      <c r="L54" s="24"/>
      <c r="M54" s="24">
        <v>1</v>
      </c>
      <c r="N54" s="24">
        <f>SUM(D54:M54)</f>
        <v>5</v>
      </c>
      <c r="O54" s="24">
        <f t="shared" si="1"/>
        <v>0.5</v>
      </c>
      <c r="P54" s="25">
        <f t="shared" si="2"/>
        <v>9.9999999999999978E-2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  <c r="ZP54" s="20"/>
      <c r="ZQ54" s="20"/>
      <c r="ZR54" s="20"/>
      <c r="ZS54" s="20"/>
      <c r="ZT54" s="20"/>
      <c r="ZU54" s="20"/>
      <c r="ZV54" s="20"/>
      <c r="ZW54" s="20"/>
      <c r="ZX54" s="20"/>
      <c r="ZY54" s="20"/>
      <c r="ZZ54" s="20"/>
      <c r="AAA54" s="20"/>
      <c r="AAB54" s="20"/>
      <c r="AAC54" s="20"/>
      <c r="AAD54" s="20"/>
      <c r="AAE54" s="20"/>
      <c r="AAF54" s="20"/>
      <c r="AAG54" s="20"/>
      <c r="AAH54" s="20"/>
      <c r="AAI54" s="20"/>
      <c r="AAJ54" s="20"/>
      <c r="AAK54" s="20"/>
      <c r="AAL54" s="20"/>
      <c r="AAM54" s="20"/>
      <c r="AAN54" s="20"/>
      <c r="AAO54" s="20"/>
      <c r="AAP54" s="20"/>
      <c r="AAQ54" s="20"/>
      <c r="AAR54" s="20"/>
      <c r="AAS54" s="20"/>
      <c r="AAT54" s="20"/>
      <c r="AAU54" s="20"/>
      <c r="AAV54" s="20"/>
      <c r="AAW54" s="20"/>
      <c r="AAX54" s="20"/>
      <c r="AAY54" s="20"/>
      <c r="AAZ54" s="20"/>
      <c r="ABA54" s="20"/>
      <c r="ABB54" s="20"/>
      <c r="ABC54" s="20"/>
      <c r="ABD54" s="20"/>
      <c r="ABE54" s="20"/>
      <c r="ABF54" s="20"/>
      <c r="ABG54" s="20"/>
      <c r="ABH54" s="20"/>
      <c r="ABI54" s="20"/>
      <c r="ABJ54" s="20"/>
      <c r="ABK54" s="20"/>
      <c r="ABL54" s="20"/>
      <c r="ABM54" s="20"/>
      <c r="ABN54" s="20"/>
      <c r="ABO54" s="20"/>
      <c r="ABP54" s="20"/>
      <c r="ABQ54" s="20"/>
      <c r="ABR54" s="20"/>
      <c r="ABS54" s="20"/>
      <c r="ABT54" s="20"/>
      <c r="ABU54" s="20"/>
      <c r="ABV54" s="20"/>
      <c r="ABW54" s="20"/>
      <c r="ABX54" s="20"/>
      <c r="ABY54" s="20"/>
      <c r="ABZ54" s="20"/>
      <c r="ACA54" s="20"/>
      <c r="ACB54" s="20"/>
      <c r="ACC54" s="20"/>
      <c r="ACD54" s="20"/>
      <c r="ACE54" s="20"/>
      <c r="ACF54" s="20"/>
      <c r="ACG54" s="20"/>
      <c r="ACH54" s="20"/>
      <c r="ACI54" s="20"/>
      <c r="ACJ54" s="20"/>
      <c r="ACK54" s="20"/>
      <c r="ACL54" s="20"/>
      <c r="ACM54" s="20"/>
      <c r="ACN54" s="20"/>
      <c r="ACO54" s="20"/>
      <c r="ACP54" s="20"/>
      <c r="ACQ54" s="20"/>
      <c r="ACR54" s="20"/>
      <c r="ACS54" s="20"/>
      <c r="ACT54" s="20"/>
      <c r="ACU54" s="20"/>
      <c r="ACV54" s="20"/>
      <c r="ACW54" s="20"/>
      <c r="ACX54" s="20"/>
      <c r="ACY54" s="20"/>
      <c r="ACZ54" s="20"/>
      <c r="ADA54" s="20"/>
      <c r="ADB54" s="20"/>
      <c r="ADC54" s="20"/>
      <c r="ADD54" s="20"/>
      <c r="ADE54" s="20"/>
      <c r="ADF54" s="20"/>
      <c r="ADG54" s="20"/>
      <c r="ADH54" s="20"/>
      <c r="ADI54" s="20"/>
      <c r="ADJ54" s="20"/>
      <c r="ADK54" s="20"/>
      <c r="ADL54" s="20"/>
      <c r="ADM54" s="20"/>
      <c r="ADN54" s="20"/>
      <c r="ADO54" s="20"/>
      <c r="ADP54" s="20"/>
      <c r="ADQ54" s="20"/>
      <c r="ADR54" s="20"/>
      <c r="ADS54" s="20"/>
      <c r="ADT54" s="20"/>
      <c r="ADU54" s="20"/>
      <c r="ADV54" s="20"/>
      <c r="ADW54" s="20"/>
      <c r="ADX54" s="20"/>
      <c r="ADY54" s="20"/>
      <c r="ADZ54" s="20"/>
      <c r="AEA54" s="20"/>
      <c r="AEB54" s="20"/>
      <c r="AEC54" s="20"/>
      <c r="AED54" s="20"/>
      <c r="AEE54" s="20"/>
      <c r="AEF54" s="20"/>
      <c r="AEG54" s="20"/>
      <c r="AEH54" s="20"/>
      <c r="AEI54" s="20"/>
      <c r="AEJ54" s="20"/>
      <c r="AEK54" s="20"/>
      <c r="AEL54" s="20"/>
      <c r="AEM54" s="20"/>
      <c r="AEN54" s="20"/>
      <c r="AEO54" s="20"/>
      <c r="AEP54" s="20"/>
      <c r="AEQ54" s="20"/>
      <c r="AER54" s="20"/>
      <c r="AES54" s="20"/>
      <c r="AET54" s="20"/>
      <c r="AEU54" s="20"/>
      <c r="AEV54" s="20"/>
      <c r="AEW54" s="20"/>
      <c r="AEX54" s="20"/>
      <c r="AEY54" s="20"/>
      <c r="AEZ54" s="20"/>
      <c r="AFA54" s="20"/>
      <c r="AFB54" s="20"/>
      <c r="AFC54" s="20"/>
      <c r="AFD54" s="20"/>
      <c r="AFE54" s="20"/>
      <c r="AFF54" s="20"/>
      <c r="AFG54" s="20"/>
      <c r="AFH54" s="20"/>
      <c r="AFI54" s="20"/>
      <c r="AFJ54" s="20"/>
      <c r="AFK54" s="20"/>
      <c r="AFL54" s="20"/>
      <c r="AFM54" s="20"/>
      <c r="AFN54" s="20"/>
      <c r="AFO54" s="20"/>
      <c r="AFP54" s="20"/>
      <c r="AFQ54" s="20"/>
      <c r="AFR54" s="20"/>
      <c r="AFS54" s="20"/>
      <c r="AFT54" s="20"/>
      <c r="AFU54" s="20"/>
      <c r="AFV54" s="20"/>
      <c r="AFW54" s="20"/>
      <c r="AFX54" s="20"/>
      <c r="AFY54" s="20"/>
      <c r="AFZ54" s="20"/>
      <c r="AGA54" s="20"/>
      <c r="AGB54" s="20"/>
      <c r="AGC54" s="20"/>
      <c r="AGD54" s="20"/>
      <c r="AGE54" s="20"/>
      <c r="AGF54" s="20"/>
      <c r="AGG54" s="20"/>
      <c r="AGH54" s="20"/>
      <c r="AGI54" s="20"/>
      <c r="AGJ54" s="20"/>
      <c r="AGK54" s="20"/>
      <c r="AGL54" s="20"/>
      <c r="AGM54" s="20"/>
      <c r="AGN54" s="20"/>
      <c r="AGO54" s="20"/>
      <c r="AGP54" s="20"/>
      <c r="AGQ54" s="20"/>
      <c r="AGR54" s="20"/>
      <c r="AGS54" s="20"/>
      <c r="AGT54" s="20"/>
      <c r="AGU54" s="20"/>
      <c r="AGV54" s="20"/>
      <c r="AGW54" s="20"/>
      <c r="AGX54" s="20"/>
      <c r="AGY54" s="20"/>
      <c r="AGZ54" s="20"/>
      <c r="AHA54" s="20"/>
      <c r="AHB54" s="20"/>
      <c r="AHC54" s="20"/>
      <c r="AHD54" s="20"/>
      <c r="AHE54" s="20"/>
      <c r="AHF54" s="20"/>
      <c r="AHG54" s="20"/>
      <c r="AHH54" s="20"/>
      <c r="AHI54" s="20"/>
      <c r="AHJ54" s="20"/>
      <c r="AHK54" s="20"/>
      <c r="AHL54" s="20"/>
      <c r="AHM54" s="20"/>
      <c r="AHN54" s="20"/>
      <c r="AHO54" s="20"/>
      <c r="AHP54" s="20"/>
      <c r="AHQ54" s="20"/>
      <c r="AHR54" s="20"/>
      <c r="AHS54" s="20"/>
      <c r="AHT54" s="20"/>
      <c r="AHU54" s="20"/>
      <c r="AHV54" s="20"/>
      <c r="AHW54" s="20"/>
      <c r="AHX54" s="20"/>
      <c r="AHY54" s="20"/>
      <c r="AHZ54" s="20"/>
      <c r="AIA54" s="20"/>
      <c r="AIB54" s="20"/>
      <c r="AIC54" s="20"/>
      <c r="AID54" s="20"/>
      <c r="AIE54" s="20"/>
      <c r="AIF54" s="20"/>
      <c r="AIG54" s="20"/>
      <c r="AIH54" s="20"/>
      <c r="AII54" s="20"/>
      <c r="AIJ54" s="20"/>
      <c r="AIK54" s="20"/>
      <c r="AIL54" s="20"/>
      <c r="AIM54" s="20"/>
      <c r="AIN54" s="20"/>
      <c r="AIO54" s="20"/>
      <c r="AIP54" s="20"/>
      <c r="AIQ54" s="20"/>
      <c r="AIR54" s="20"/>
      <c r="AIS54" s="20"/>
      <c r="AIT54" s="20"/>
      <c r="AIU54" s="20"/>
      <c r="AIV54" s="20"/>
      <c r="AIW54" s="20"/>
      <c r="AIX54" s="20"/>
      <c r="AIY54" s="20"/>
      <c r="AIZ54" s="20"/>
      <c r="AJA54" s="20"/>
      <c r="AJB54" s="20"/>
      <c r="AJC54" s="20"/>
      <c r="AJD54" s="20"/>
      <c r="AJE54" s="20"/>
      <c r="AJF54" s="20"/>
      <c r="AJG54" s="20"/>
      <c r="AJH54" s="20"/>
      <c r="AJI54" s="20"/>
      <c r="AJJ54" s="20"/>
      <c r="AJK54" s="20"/>
      <c r="AJL54" s="20"/>
      <c r="AJM54" s="20"/>
      <c r="AJN54" s="20"/>
      <c r="AJO54" s="20"/>
      <c r="AJP54" s="20"/>
      <c r="AJQ54" s="20"/>
      <c r="AJR54" s="20"/>
      <c r="AJS54" s="20"/>
      <c r="AJT54" s="20"/>
      <c r="AJU54" s="20"/>
      <c r="AJV54" s="20"/>
      <c r="AJW54" s="20"/>
      <c r="AJX54" s="20"/>
      <c r="AJY54" s="20"/>
      <c r="AJZ54" s="20"/>
      <c r="AKA54" s="20"/>
      <c r="AKB54" s="20"/>
      <c r="AKC54" s="20"/>
      <c r="AKD54" s="20"/>
      <c r="AKE54" s="20"/>
      <c r="AKF54" s="20"/>
      <c r="AKG54" s="20"/>
      <c r="AKH54" s="20"/>
      <c r="AKI54" s="20"/>
      <c r="AKJ54" s="20"/>
      <c r="AKK54" s="20"/>
      <c r="AKL54" s="20"/>
      <c r="AKM54" s="20"/>
      <c r="AKN54" s="20"/>
      <c r="AKO54" s="20"/>
      <c r="AKP54" s="20"/>
      <c r="AKQ54" s="20"/>
      <c r="AKR54" s="20"/>
      <c r="AKS54" s="20"/>
      <c r="AKT54" s="20"/>
      <c r="AKU54" s="20"/>
      <c r="AKV54" s="20"/>
      <c r="AKW54" s="20"/>
      <c r="AKX54" s="20"/>
      <c r="AKY54" s="20"/>
      <c r="AKZ54" s="20"/>
      <c r="ALA54" s="20"/>
      <c r="ALB54" s="20"/>
      <c r="ALC54" s="20"/>
      <c r="ALD54" s="20"/>
      <c r="ALE54" s="20"/>
      <c r="ALF54" s="20"/>
      <c r="ALG54" s="20"/>
      <c r="ALH54" s="20"/>
      <c r="ALI54" s="20"/>
      <c r="ALJ54" s="20"/>
      <c r="ALK54" s="20"/>
      <c r="ALL54" s="20"/>
      <c r="ALM54" s="20"/>
      <c r="ALN54" s="20"/>
      <c r="ALO54" s="20"/>
      <c r="ALP54" s="20"/>
      <c r="ALQ54" s="20"/>
      <c r="ALR54" s="20"/>
      <c r="ALS54" s="20"/>
      <c r="ALT54" s="20"/>
      <c r="ALU54" s="20"/>
      <c r="ALV54" s="20"/>
      <c r="ALW54" s="20"/>
      <c r="ALX54" s="20"/>
      <c r="ALY54" s="20"/>
      <c r="ALZ54" s="20"/>
      <c r="AMA54" s="20"/>
      <c r="AMB54" s="20"/>
      <c r="AMC54" s="20"/>
      <c r="AMD54" s="20"/>
      <c r="AME54" s="20"/>
      <c r="AMF54" s="20"/>
      <c r="AMG54" s="20"/>
      <c r="AMH54" s="20"/>
      <c r="AMI54" s="20"/>
      <c r="AMJ54" s="20"/>
      <c r="AMK54" s="20"/>
    </row>
    <row r="55" spans="1:1025" s="21" customFormat="1" ht="12.95" customHeight="1" x14ac:dyDescent="0.25">
      <c r="A55" s="26"/>
      <c r="B55" s="38" t="s">
        <v>259</v>
      </c>
      <c r="C55" s="23">
        <v>0.4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>
        <f>O55-C55</f>
        <v>-0.4</v>
      </c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  <c r="ZP55" s="20"/>
      <c r="ZQ55" s="20"/>
      <c r="ZR55" s="20"/>
      <c r="ZS55" s="20"/>
      <c r="ZT55" s="20"/>
      <c r="ZU55" s="20"/>
      <c r="ZV55" s="20"/>
      <c r="ZW55" s="20"/>
      <c r="ZX55" s="20"/>
      <c r="ZY55" s="20"/>
      <c r="ZZ55" s="20"/>
      <c r="AAA55" s="20"/>
      <c r="AAB55" s="20"/>
      <c r="AAC55" s="20"/>
      <c r="AAD55" s="20"/>
      <c r="AAE55" s="20"/>
      <c r="AAF55" s="20"/>
      <c r="AAG55" s="20"/>
      <c r="AAH55" s="20"/>
      <c r="AAI55" s="20"/>
      <c r="AAJ55" s="20"/>
      <c r="AAK55" s="20"/>
      <c r="AAL55" s="20"/>
      <c r="AAM55" s="20"/>
      <c r="AAN55" s="20"/>
      <c r="AAO55" s="20"/>
      <c r="AAP55" s="20"/>
      <c r="AAQ55" s="20"/>
      <c r="AAR55" s="20"/>
      <c r="AAS55" s="20"/>
      <c r="AAT55" s="20"/>
      <c r="AAU55" s="20"/>
      <c r="AAV55" s="20"/>
      <c r="AAW55" s="20"/>
      <c r="AAX55" s="20"/>
      <c r="AAY55" s="20"/>
      <c r="AAZ55" s="20"/>
      <c r="ABA55" s="20"/>
      <c r="ABB55" s="20"/>
      <c r="ABC55" s="20"/>
      <c r="ABD55" s="20"/>
      <c r="ABE55" s="20"/>
      <c r="ABF55" s="20"/>
      <c r="ABG55" s="20"/>
      <c r="ABH55" s="20"/>
      <c r="ABI55" s="20"/>
      <c r="ABJ55" s="20"/>
      <c r="ABK55" s="20"/>
      <c r="ABL55" s="20"/>
      <c r="ABM55" s="20"/>
      <c r="ABN55" s="20"/>
      <c r="ABO55" s="20"/>
      <c r="ABP55" s="20"/>
      <c r="ABQ55" s="20"/>
      <c r="ABR55" s="20"/>
      <c r="ABS55" s="20"/>
      <c r="ABT55" s="20"/>
      <c r="ABU55" s="20"/>
      <c r="ABV55" s="20"/>
      <c r="ABW55" s="20"/>
      <c r="ABX55" s="20"/>
      <c r="ABY55" s="20"/>
      <c r="ABZ55" s="20"/>
      <c r="ACA55" s="20"/>
      <c r="ACB55" s="20"/>
      <c r="ACC55" s="20"/>
      <c r="ACD55" s="20"/>
      <c r="ACE55" s="20"/>
      <c r="ACF55" s="20"/>
      <c r="ACG55" s="20"/>
      <c r="ACH55" s="20"/>
      <c r="ACI55" s="20"/>
      <c r="ACJ55" s="20"/>
      <c r="ACK55" s="20"/>
      <c r="ACL55" s="20"/>
      <c r="ACM55" s="20"/>
      <c r="ACN55" s="20"/>
      <c r="ACO55" s="20"/>
      <c r="ACP55" s="20"/>
      <c r="ACQ55" s="20"/>
      <c r="ACR55" s="20"/>
      <c r="ACS55" s="20"/>
      <c r="ACT55" s="20"/>
      <c r="ACU55" s="20"/>
      <c r="ACV55" s="20"/>
      <c r="ACW55" s="20"/>
      <c r="ACX55" s="20"/>
      <c r="ACY55" s="20"/>
      <c r="ACZ55" s="20"/>
      <c r="ADA55" s="20"/>
      <c r="ADB55" s="20"/>
      <c r="ADC55" s="20"/>
      <c r="ADD55" s="20"/>
      <c r="ADE55" s="20"/>
      <c r="ADF55" s="20"/>
      <c r="ADG55" s="20"/>
      <c r="ADH55" s="20"/>
      <c r="ADI55" s="20"/>
      <c r="ADJ55" s="20"/>
      <c r="ADK55" s="20"/>
      <c r="ADL55" s="20"/>
      <c r="ADM55" s="20"/>
      <c r="ADN55" s="20"/>
      <c r="ADO55" s="20"/>
      <c r="ADP55" s="20"/>
      <c r="ADQ55" s="20"/>
      <c r="ADR55" s="20"/>
      <c r="ADS55" s="20"/>
      <c r="ADT55" s="20"/>
      <c r="ADU55" s="20"/>
      <c r="ADV55" s="20"/>
      <c r="ADW55" s="20"/>
      <c r="ADX55" s="20"/>
      <c r="ADY55" s="20"/>
      <c r="ADZ55" s="20"/>
      <c r="AEA55" s="20"/>
      <c r="AEB55" s="20"/>
      <c r="AEC55" s="20"/>
      <c r="AED55" s="20"/>
      <c r="AEE55" s="20"/>
      <c r="AEF55" s="20"/>
      <c r="AEG55" s="20"/>
      <c r="AEH55" s="20"/>
      <c r="AEI55" s="20"/>
      <c r="AEJ55" s="20"/>
      <c r="AEK55" s="20"/>
      <c r="AEL55" s="20"/>
      <c r="AEM55" s="20"/>
      <c r="AEN55" s="20"/>
      <c r="AEO55" s="20"/>
      <c r="AEP55" s="20"/>
      <c r="AEQ55" s="20"/>
      <c r="AER55" s="20"/>
      <c r="AES55" s="20"/>
      <c r="AET55" s="20"/>
      <c r="AEU55" s="20"/>
      <c r="AEV55" s="20"/>
      <c r="AEW55" s="20"/>
      <c r="AEX55" s="20"/>
      <c r="AEY55" s="20"/>
      <c r="AEZ55" s="20"/>
      <c r="AFA55" s="20"/>
      <c r="AFB55" s="20"/>
      <c r="AFC55" s="20"/>
      <c r="AFD55" s="20"/>
      <c r="AFE55" s="20"/>
      <c r="AFF55" s="20"/>
      <c r="AFG55" s="20"/>
      <c r="AFH55" s="20"/>
      <c r="AFI55" s="20"/>
      <c r="AFJ55" s="20"/>
      <c r="AFK55" s="20"/>
      <c r="AFL55" s="20"/>
      <c r="AFM55" s="20"/>
      <c r="AFN55" s="20"/>
      <c r="AFO55" s="20"/>
      <c r="AFP55" s="20"/>
      <c r="AFQ55" s="20"/>
      <c r="AFR55" s="20"/>
      <c r="AFS55" s="20"/>
      <c r="AFT55" s="20"/>
      <c r="AFU55" s="20"/>
      <c r="AFV55" s="20"/>
      <c r="AFW55" s="20"/>
      <c r="AFX55" s="20"/>
      <c r="AFY55" s="20"/>
      <c r="AFZ55" s="20"/>
      <c r="AGA55" s="20"/>
      <c r="AGB55" s="20"/>
      <c r="AGC55" s="20"/>
      <c r="AGD55" s="20"/>
      <c r="AGE55" s="20"/>
      <c r="AGF55" s="20"/>
      <c r="AGG55" s="20"/>
      <c r="AGH55" s="20"/>
      <c r="AGI55" s="20"/>
      <c r="AGJ55" s="20"/>
      <c r="AGK55" s="20"/>
      <c r="AGL55" s="20"/>
      <c r="AGM55" s="20"/>
      <c r="AGN55" s="20"/>
      <c r="AGO55" s="20"/>
      <c r="AGP55" s="20"/>
      <c r="AGQ55" s="20"/>
      <c r="AGR55" s="20"/>
      <c r="AGS55" s="20"/>
      <c r="AGT55" s="20"/>
      <c r="AGU55" s="20"/>
      <c r="AGV55" s="20"/>
      <c r="AGW55" s="20"/>
      <c r="AGX55" s="20"/>
      <c r="AGY55" s="20"/>
      <c r="AGZ55" s="20"/>
      <c r="AHA55" s="20"/>
      <c r="AHB55" s="20"/>
      <c r="AHC55" s="20"/>
      <c r="AHD55" s="20"/>
      <c r="AHE55" s="20"/>
      <c r="AHF55" s="20"/>
      <c r="AHG55" s="20"/>
      <c r="AHH55" s="20"/>
      <c r="AHI55" s="20"/>
      <c r="AHJ55" s="20"/>
      <c r="AHK55" s="20"/>
      <c r="AHL55" s="20"/>
      <c r="AHM55" s="20"/>
      <c r="AHN55" s="20"/>
      <c r="AHO55" s="20"/>
      <c r="AHP55" s="20"/>
      <c r="AHQ55" s="20"/>
      <c r="AHR55" s="20"/>
      <c r="AHS55" s="20"/>
      <c r="AHT55" s="20"/>
      <c r="AHU55" s="20"/>
      <c r="AHV55" s="20"/>
      <c r="AHW55" s="20"/>
      <c r="AHX55" s="20"/>
      <c r="AHY55" s="20"/>
      <c r="AHZ55" s="20"/>
      <c r="AIA55" s="20"/>
      <c r="AIB55" s="20"/>
      <c r="AIC55" s="20"/>
      <c r="AID55" s="20"/>
      <c r="AIE55" s="20"/>
      <c r="AIF55" s="20"/>
      <c r="AIG55" s="20"/>
      <c r="AIH55" s="20"/>
      <c r="AII55" s="20"/>
      <c r="AIJ55" s="20"/>
      <c r="AIK55" s="20"/>
      <c r="AIL55" s="20"/>
      <c r="AIM55" s="20"/>
      <c r="AIN55" s="20"/>
      <c r="AIO55" s="20"/>
      <c r="AIP55" s="20"/>
      <c r="AIQ55" s="20"/>
      <c r="AIR55" s="20"/>
      <c r="AIS55" s="20"/>
      <c r="AIT55" s="20"/>
      <c r="AIU55" s="20"/>
      <c r="AIV55" s="20"/>
      <c r="AIW55" s="20"/>
      <c r="AIX55" s="20"/>
      <c r="AIY55" s="20"/>
      <c r="AIZ55" s="20"/>
      <c r="AJA55" s="20"/>
      <c r="AJB55" s="20"/>
      <c r="AJC55" s="20"/>
      <c r="AJD55" s="20"/>
      <c r="AJE55" s="20"/>
      <c r="AJF55" s="20"/>
      <c r="AJG55" s="20"/>
      <c r="AJH55" s="20"/>
      <c r="AJI55" s="20"/>
      <c r="AJJ55" s="20"/>
      <c r="AJK55" s="20"/>
      <c r="AJL55" s="20"/>
      <c r="AJM55" s="20"/>
      <c r="AJN55" s="20"/>
      <c r="AJO55" s="20"/>
      <c r="AJP55" s="20"/>
      <c r="AJQ55" s="20"/>
      <c r="AJR55" s="20"/>
      <c r="AJS55" s="20"/>
      <c r="AJT55" s="20"/>
      <c r="AJU55" s="20"/>
      <c r="AJV55" s="20"/>
      <c r="AJW55" s="20"/>
      <c r="AJX55" s="20"/>
      <c r="AJY55" s="20"/>
      <c r="AJZ55" s="20"/>
      <c r="AKA55" s="20"/>
      <c r="AKB55" s="20"/>
      <c r="AKC55" s="20"/>
      <c r="AKD55" s="20"/>
      <c r="AKE55" s="20"/>
      <c r="AKF55" s="20"/>
      <c r="AKG55" s="20"/>
      <c r="AKH55" s="20"/>
      <c r="AKI55" s="20"/>
      <c r="AKJ55" s="20"/>
      <c r="AKK55" s="20"/>
      <c r="AKL55" s="20"/>
      <c r="AKM55" s="20"/>
      <c r="AKN55" s="20"/>
      <c r="AKO55" s="20"/>
      <c r="AKP55" s="20"/>
      <c r="AKQ55" s="20"/>
      <c r="AKR55" s="20"/>
      <c r="AKS55" s="20"/>
      <c r="AKT55" s="20"/>
      <c r="AKU55" s="20"/>
      <c r="AKV55" s="20"/>
      <c r="AKW55" s="20"/>
      <c r="AKX55" s="20"/>
      <c r="AKY55" s="20"/>
      <c r="AKZ55" s="20"/>
      <c r="ALA55" s="20"/>
      <c r="ALB55" s="20"/>
      <c r="ALC55" s="20"/>
      <c r="ALD55" s="20"/>
      <c r="ALE55" s="20"/>
      <c r="ALF55" s="20"/>
      <c r="ALG55" s="20"/>
      <c r="ALH55" s="20"/>
      <c r="ALI55" s="20"/>
      <c r="ALJ55" s="20"/>
      <c r="ALK55" s="20"/>
      <c r="ALL55" s="20"/>
      <c r="ALM55" s="20"/>
      <c r="ALN55" s="20"/>
      <c r="ALO55" s="20"/>
      <c r="ALP55" s="20"/>
      <c r="ALQ55" s="20"/>
      <c r="ALR55" s="20"/>
      <c r="ALS55" s="20"/>
      <c r="ALT55" s="20"/>
      <c r="ALU55" s="20"/>
      <c r="ALV55" s="20"/>
      <c r="ALW55" s="20"/>
      <c r="ALX55" s="20"/>
      <c r="ALY55" s="20"/>
      <c r="ALZ55" s="20"/>
      <c r="AMA55" s="20"/>
      <c r="AMB55" s="20"/>
      <c r="AMC55" s="20"/>
      <c r="AMD55" s="20"/>
      <c r="AME55" s="20"/>
      <c r="AMF55" s="20"/>
      <c r="AMG55" s="20"/>
      <c r="AMH55" s="20"/>
      <c r="AMI55" s="20"/>
      <c r="AMJ55" s="20"/>
      <c r="AMK55" s="20"/>
    </row>
    <row r="56" spans="1:1025" s="21" customFormat="1" ht="12.95" customHeight="1" x14ac:dyDescent="0.25">
      <c r="A56" s="22">
        <v>26</v>
      </c>
      <c r="B56" s="38" t="s">
        <v>258</v>
      </c>
      <c r="C56" s="23">
        <v>1.2</v>
      </c>
      <c r="D56" s="24">
        <v>0</v>
      </c>
      <c r="E56" s="24"/>
      <c r="F56" s="24">
        <v>2.4</v>
      </c>
      <c r="G56" s="24"/>
      <c r="H56" s="24"/>
      <c r="I56" s="24"/>
      <c r="J56" s="24"/>
      <c r="K56" s="24"/>
      <c r="L56" s="24">
        <v>2.4</v>
      </c>
      <c r="M56" s="24"/>
      <c r="N56" s="24">
        <f>SUM(D56:M56)</f>
        <v>4.8</v>
      </c>
      <c r="O56" s="24">
        <f t="shared" si="1"/>
        <v>0.48</v>
      </c>
      <c r="P56" s="25">
        <f t="shared" si="2"/>
        <v>-0.72</v>
      </c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  <c r="TY56" s="20"/>
      <c r="TZ56" s="20"/>
      <c r="UA56" s="20"/>
      <c r="UB56" s="20"/>
      <c r="UC56" s="20"/>
      <c r="UD56" s="20"/>
      <c r="UE56" s="20"/>
      <c r="UF56" s="20"/>
      <c r="UG56" s="20"/>
      <c r="UH56" s="20"/>
      <c r="UI56" s="20"/>
      <c r="UJ56" s="20"/>
      <c r="UK56" s="20"/>
      <c r="UL56" s="20"/>
      <c r="UM56" s="20"/>
      <c r="UN56" s="20"/>
      <c r="UO56" s="20"/>
      <c r="UP56" s="20"/>
      <c r="UQ56" s="20"/>
      <c r="UR56" s="20"/>
      <c r="US56" s="20"/>
      <c r="UT56" s="20"/>
      <c r="UU56" s="20"/>
      <c r="UV56" s="20"/>
      <c r="UW56" s="20"/>
      <c r="UX56" s="20"/>
      <c r="UY56" s="20"/>
      <c r="UZ56" s="20"/>
      <c r="VA56" s="20"/>
      <c r="VB56" s="20"/>
      <c r="VC56" s="20"/>
      <c r="VD56" s="20"/>
      <c r="VE56" s="20"/>
      <c r="VF56" s="20"/>
      <c r="VG56" s="20"/>
      <c r="VH56" s="20"/>
      <c r="VI56" s="20"/>
      <c r="VJ56" s="20"/>
      <c r="VK56" s="20"/>
      <c r="VL56" s="20"/>
      <c r="VM56" s="20"/>
      <c r="VN56" s="20"/>
      <c r="VO56" s="20"/>
      <c r="VP56" s="20"/>
      <c r="VQ56" s="20"/>
      <c r="VR56" s="20"/>
      <c r="VS56" s="20"/>
      <c r="VT56" s="20"/>
      <c r="VU56" s="20"/>
      <c r="VV56" s="20"/>
      <c r="VW56" s="20"/>
      <c r="VX56" s="20"/>
      <c r="VY56" s="20"/>
      <c r="VZ56" s="20"/>
      <c r="WA56" s="20"/>
      <c r="WB56" s="20"/>
      <c r="WC56" s="20"/>
      <c r="WD56" s="20"/>
      <c r="WE56" s="20"/>
      <c r="WF56" s="20"/>
      <c r="WG56" s="20"/>
      <c r="WH56" s="20"/>
      <c r="WI56" s="20"/>
      <c r="WJ56" s="20"/>
      <c r="WK56" s="20"/>
      <c r="WL56" s="20"/>
      <c r="WM56" s="20"/>
      <c r="WN56" s="20"/>
      <c r="WO56" s="20"/>
      <c r="WP56" s="20"/>
      <c r="WQ56" s="20"/>
      <c r="WR56" s="20"/>
      <c r="WS56" s="20"/>
      <c r="WT56" s="20"/>
      <c r="WU56" s="20"/>
      <c r="WV56" s="20"/>
      <c r="WW56" s="20"/>
      <c r="WX56" s="20"/>
      <c r="WY56" s="20"/>
      <c r="WZ56" s="20"/>
      <c r="XA56" s="20"/>
      <c r="XB56" s="20"/>
      <c r="XC56" s="20"/>
      <c r="XD56" s="20"/>
      <c r="XE56" s="20"/>
      <c r="XF56" s="20"/>
      <c r="XG56" s="20"/>
      <c r="XH56" s="20"/>
      <c r="XI56" s="20"/>
      <c r="XJ56" s="20"/>
      <c r="XK56" s="20"/>
      <c r="XL56" s="20"/>
      <c r="XM56" s="20"/>
      <c r="XN56" s="20"/>
      <c r="XO56" s="20"/>
      <c r="XP56" s="20"/>
      <c r="XQ56" s="20"/>
      <c r="XR56" s="20"/>
      <c r="XS56" s="20"/>
      <c r="XT56" s="20"/>
      <c r="XU56" s="20"/>
      <c r="XV56" s="20"/>
      <c r="XW56" s="20"/>
      <c r="XX56" s="20"/>
      <c r="XY56" s="20"/>
      <c r="XZ56" s="20"/>
      <c r="YA56" s="20"/>
      <c r="YB56" s="20"/>
      <c r="YC56" s="20"/>
      <c r="YD56" s="20"/>
      <c r="YE56" s="20"/>
      <c r="YF56" s="20"/>
      <c r="YG56" s="20"/>
      <c r="YH56" s="20"/>
      <c r="YI56" s="20"/>
      <c r="YJ56" s="20"/>
      <c r="YK56" s="20"/>
      <c r="YL56" s="20"/>
      <c r="YM56" s="20"/>
      <c r="YN56" s="20"/>
      <c r="YO56" s="20"/>
      <c r="YP56" s="20"/>
      <c r="YQ56" s="20"/>
      <c r="YR56" s="20"/>
      <c r="YS56" s="20"/>
      <c r="YT56" s="20"/>
      <c r="YU56" s="20"/>
      <c r="YV56" s="20"/>
      <c r="YW56" s="20"/>
      <c r="YX56" s="20"/>
      <c r="YY56" s="20"/>
      <c r="YZ56" s="20"/>
      <c r="ZA56" s="20"/>
      <c r="ZB56" s="20"/>
      <c r="ZC56" s="20"/>
      <c r="ZD56" s="20"/>
      <c r="ZE56" s="20"/>
      <c r="ZF56" s="20"/>
      <c r="ZG56" s="20"/>
      <c r="ZH56" s="20"/>
      <c r="ZI56" s="20"/>
      <c r="ZJ56" s="20"/>
      <c r="ZK56" s="20"/>
      <c r="ZL56" s="20"/>
      <c r="ZM56" s="20"/>
      <c r="ZN56" s="20"/>
      <c r="ZO56" s="20"/>
      <c r="ZP56" s="20"/>
      <c r="ZQ56" s="20"/>
      <c r="ZR56" s="20"/>
      <c r="ZS56" s="20"/>
      <c r="ZT56" s="20"/>
      <c r="ZU56" s="20"/>
      <c r="ZV56" s="20"/>
      <c r="ZW56" s="20"/>
      <c r="ZX56" s="20"/>
      <c r="ZY56" s="20"/>
      <c r="ZZ56" s="20"/>
      <c r="AAA56" s="20"/>
      <c r="AAB56" s="20"/>
      <c r="AAC56" s="20"/>
      <c r="AAD56" s="20"/>
      <c r="AAE56" s="20"/>
      <c r="AAF56" s="20"/>
      <c r="AAG56" s="20"/>
      <c r="AAH56" s="20"/>
      <c r="AAI56" s="20"/>
      <c r="AAJ56" s="20"/>
      <c r="AAK56" s="20"/>
      <c r="AAL56" s="20"/>
      <c r="AAM56" s="20"/>
      <c r="AAN56" s="20"/>
      <c r="AAO56" s="20"/>
      <c r="AAP56" s="20"/>
      <c r="AAQ56" s="20"/>
      <c r="AAR56" s="20"/>
      <c r="AAS56" s="20"/>
      <c r="AAT56" s="20"/>
      <c r="AAU56" s="20"/>
      <c r="AAV56" s="20"/>
      <c r="AAW56" s="20"/>
      <c r="AAX56" s="20"/>
      <c r="AAY56" s="20"/>
      <c r="AAZ56" s="20"/>
      <c r="ABA56" s="20"/>
      <c r="ABB56" s="20"/>
      <c r="ABC56" s="20"/>
      <c r="ABD56" s="20"/>
      <c r="ABE56" s="20"/>
      <c r="ABF56" s="20"/>
      <c r="ABG56" s="20"/>
      <c r="ABH56" s="20"/>
      <c r="ABI56" s="20"/>
      <c r="ABJ56" s="20"/>
      <c r="ABK56" s="20"/>
      <c r="ABL56" s="20"/>
      <c r="ABM56" s="20"/>
      <c r="ABN56" s="20"/>
      <c r="ABO56" s="20"/>
      <c r="ABP56" s="20"/>
      <c r="ABQ56" s="20"/>
      <c r="ABR56" s="20"/>
      <c r="ABS56" s="20"/>
      <c r="ABT56" s="20"/>
      <c r="ABU56" s="20"/>
      <c r="ABV56" s="20"/>
      <c r="ABW56" s="20"/>
      <c r="ABX56" s="20"/>
      <c r="ABY56" s="20"/>
      <c r="ABZ56" s="20"/>
      <c r="ACA56" s="20"/>
      <c r="ACB56" s="20"/>
      <c r="ACC56" s="20"/>
      <c r="ACD56" s="20"/>
      <c r="ACE56" s="20"/>
      <c r="ACF56" s="20"/>
      <c r="ACG56" s="20"/>
      <c r="ACH56" s="20"/>
      <c r="ACI56" s="20"/>
      <c r="ACJ56" s="20"/>
      <c r="ACK56" s="20"/>
      <c r="ACL56" s="20"/>
      <c r="ACM56" s="20"/>
      <c r="ACN56" s="20"/>
      <c r="ACO56" s="20"/>
      <c r="ACP56" s="20"/>
      <c r="ACQ56" s="20"/>
      <c r="ACR56" s="20"/>
      <c r="ACS56" s="20"/>
      <c r="ACT56" s="20"/>
      <c r="ACU56" s="20"/>
      <c r="ACV56" s="20"/>
      <c r="ACW56" s="20"/>
      <c r="ACX56" s="20"/>
      <c r="ACY56" s="20"/>
      <c r="ACZ56" s="20"/>
      <c r="ADA56" s="20"/>
      <c r="ADB56" s="20"/>
      <c r="ADC56" s="20"/>
      <c r="ADD56" s="20"/>
      <c r="ADE56" s="20"/>
      <c r="ADF56" s="20"/>
      <c r="ADG56" s="20"/>
      <c r="ADH56" s="20"/>
      <c r="ADI56" s="20"/>
      <c r="ADJ56" s="20"/>
      <c r="ADK56" s="20"/>
      <c r="ADL56" s="20"/>
      <c r="ADM56" s="20"/>
      <c r="ADN56" s="20"/>
      <c r="ADO56" s="20"/>
      <c r="ADP56" s="20"/>
      <c r="ADQ56" s="20"/>
      <c r="ADR56" s="20"/>
      <c r="ADS56" s="20"/>
      <c r="ADT56" s="20"/>
      <c r="ADU56" s="20"/>
      <c r="ADV56" s="20"/>
      <c r="ADW56" s="20"/>
      <c r="ADX56" s="20"/>
      <c r="ADY56" s="20"/>
      <c r="ADZ56" s="20"/>
      <c r="AEA56" s="20"/>
      <c r="AEB56" s="20"/>
      <c r="AEC56" s="20"/>
      <c r="AED56" s="20"/>
      <c r="AEE56" s="20"/>
      <c r="AEF56" s="20"/>
      <c r="AEG56" s="20"/>
      <c r="AEH56" s="20"/>
      <c r="AEI56" s="20"/>
      <c r="AEJ56" s="20"/>
      <c r="AEK56" s="20"/>
      <c r="AEL56" s="20"/>
      <c r="AEM56" s="20"/>
      <c r="AEN56" s="20"/>
      <c r="AEO56" s="20"/>
      <c r="AEP56" s="20"/>
      <c r="AEQ56" s="20"/>
      <c r="AER56" s="20"/>
      <c r="AES56" s="20"/>
      <c r="AET56" s="20"/>
      <c r="AEU56" s="20"/>
      <c r="AEV56" s="20"/>
      <c r="AEW56" s="20"/>
      <c r="AEX56" s="20"/>
      <c r="AEY56" s="20"/>
      <c r="AEZ56" s="20"/>
      <c r="AFA56" s="20"/>
      <c r="AFB56" s="20"/>
      <c r="AFC56" s="20"/>
      <c r="AFD56" s="20"/>
      <c r="AFE56" s="20"/>
      <c r="AFF56" s="20"/>
      <c r="AFG56" s="20"/>
      <c r="AFH56" s="20"/>
      <c r="AFI56" s="20"/>
      <c r="AFJ56" s="20"/>
      <c r="AFK56" s="20"/>
      <c r="AFL56" s="20"/>
      <c r="AFM56" s="20"/>
      <c r="AFN56" s="20"/>
      <c r="AFO56" s="20"/>
      <c r="AFP56" s="20"/>
      <c r="AFQ56" s="20"/>
      <c r="AFR56" s="20"/>
      <c r="AFS56" s="20"/>
      <c r="AFT56" s="20"/>
      <c r="AFU56" s="20"/>
      <c r="AFV56" s="20"/>
      <c r="AFW56" s="20"/>
      <c r="AFX56" s="20"/>
      <c r="AFY56" s="20"/>
      <c r="AFZ56" s="20"/>
      <c r="AGA56" s="20"/>
      <c r="AGB56" s="20"/>
      <c r="AGC56" s="20"/>
      <c r="AGD56" s="20"/>
      <c r="AGE56" s="20"/>
      <c r="AGF56" s="20"/>
      <c r="AGG56" s="20"/>
      <c r="AGH56" s="20"/>
      <c r="AGI56" s="20"/>
      <c r="AGJ56" s="20"/>
      <c r="AGK56" s="20"/>
      <c r="AGL56" s="20"/>
      <c r="AGM56" s="20"/>
      <c r="AGN56" s="20"/>
      <c r="AGO56" s="20"/>
      <c r="AGP56" s="20"/>
      <c r="AGQ56" s="20"/>
      <c r="AGR56" s="20"/>
      <c r="AGS56" s="20"/>
      <c r="AGT56" s="20"/>
      <c r="AGU56" s="20"/>
      <c r="AGV56" s="20"/>
      <c r="AGW56" s="20"/>
      <c r="AGX56" s="20"/>
      <c r="AGY56" s="20"/>
      <c r="AGZ56" s="20"/>
      <c r="AHA56" s="20"/>
      <c r="AHB56" s="20"/>
      <c r="AHC56" s="20"/>
      <c r="AHD56" s="20"/>
      <c r="AHE56" s="20"/>
      <c r="AHF56" s="20"/>
      <c r="AHG56" s="20"/>
      <c r="AHH56" s="20"/>
      <c r="AHI56" s="20"/>
      <c r="AHJ56" s="20"/>
      <c r="AHK56" s="20"/>
      <c r="AHL56" s="20"/>
      <c r="AHM56" s="20"/>
      <c r="AHN56" s="20"/>
      <c r="AHO56" s="20"/>
      <c r="AHP56" s="20"/>
      <c r="AHQ56" s="20"/>
      <c r="AHR56" s="20"/>
      <c r="AHS56" s="20"/>
      <c r="AHT56" s="20"/>
      <c r="AHU56" s="20"/>
      <c r="AHV56" s="20"/>
      <c r="AHW56" s="20"/>
      <c r="AHX56" s="20"/>
      <c r="AHY56" s="20"/>
      <c r="AHZ56" s="20"/>
      <c r="AIA56" s="20"/>
      <c r="AIB56" s="20"/>
      <c r="AIC56" s="20"/>
      <c r="AID56" s="20"/>
      <c r="AIE56" s="20"/>
      <c r="AIF56" s="20"/>
      <c r="AIG56" s="20"/>
      <c r="AIH56" s="20"/>
      <c r="AII56" s="20"/>
      <c r="AIJ56" s="20"/>
      <c r="AIK56" s="20"/>
      <c r="AIL56" s="20"/>
      <c r="AIM56" s="20"/>
      <c r="AIN56" s="20"/>
      <c r="AIO56" s="20"/>
      <c r="AIP56" s="20"/>
      <c r="AIQ56" s="20"/>
      <c r="AIR56" s="20"/>
      <c r="AIS56" s="20"/>
      <c r="AIT56" s="20"/>
      <c r="AIU56" s="20"/>
      <c r="AIV56" s="20"/>
      <c r="AIW56" s="20"/>
      <c r="AIX56" s="20"/>
      <c r="AIY56" s="20"/>
      <c r="AIZ56" s="20"/>
      <c r="AJA56" s="20"/>
      <c r="AJB56" s="20"/>
      <c r="AJC56" s="20"/>
      <c r="AJD56" s="20"/>
      <c r="AJE56" s="20"/>
      <c r="AJF56" s="20"/>
      <c r="AJG56" s="20"/>
      <c r="AJH56" s="20"/>
      <c r="AJI56" s="20"/>
      <c r="AJJ56" s="20"/>
      <c r="AJK56" s="20"/>
      <c r="AJL56" s="20"/>
      <c r="AJM56" s="20"/>
      <c r="AJN56" s="20"/>
      <c r="AJO56" s="20"/>
      <c r="AJP56" s="20"/>
      <c r="AJQ56" s="20"/>
      <c r="AJR56" s="20"/>
      <c r="AJS56" s="20"/>
      <c r="AJT56" s="20"/>
      <c r="AJU56" s="20"/>
      <c r="AJV56" s="20"/>
      <c r="AJW56" s="20"/>
      <c r="AJX56" s="20"/>
      <c r="AJY56" s="20"/>
      <c r="AJZ56" s="20"/>
      <c r="AKA56" s="20"/>
      <c r="AKB56" s="20"/>
      <c r="AKC56" s="20"/>
      <c r="AKD56" s="20"/>
      <c r="AKE56" s="20"/>
      <c r="AKF56" s="20"/>
      <c r="AKG56" s="20"/>
      <c r="AKH56" s="20"/>
      <c r="AKI56" s="20"/>
      <c r="AKJ56" s="20"/>
      <c r="AKK56" s="20"/>
      <c r="AKL56" s="20"/>
      <c r="AKM56" s="20"/>
      <c r="AKN56" s="20"/>
      <c r="AKO56" s="20"/>
      <c r="AKP56" s="20"/>
      <c r="AKQ56" s="20"/>
      <c r="AKR56" s="20"/>
      <c r="AKS56" s="20"/>
      <c r="AKT56" s="20"/>
      <c r="AKU56" s="20"/>
      <c r="AKV56" s="20"/>
      <c r="AKW56" s="20"/>
      <c r="AKX56" s="20"/>
      <c r="AKY56" s="20"/>
      <c r="AKZ56" s="20"/>
      <c r="ALA56" s="20"/>
      <c r="ALB56" s="20"/>
      <c r="ALC56" s="20"/>
      <c r="ALD56" s="20"/>
      <c r="ALE56" s="20"/>
      <c r="ALF56" s="20"/>
      <c r="ALG56" s="20"/>
      <c r="ALH56" s="20"/>
      <c r="ALI56" s="20"/>
      <c r="ALJ56" s="20"/>
      <c r="ALK56" s="20"/>
      <c r="ALL56" s="20"/>
      <c r="ALM56" s="20"/>
      <c r="ALN56" s="20"/>
      <c r="ALO56" s="20"/>
      <c r="ALP56" s="20"/>
      <c r="ALQ56" s="20"/>
      <c r="ALR56" s="20"/>
      <c r="ALS56" s="20"/>
      <c r="ALT56" s="20"/>
      <c r="ALU56" s="20"/>
      <c r="ALV56" s="20"/>
      <c r="ALW56" s="20"/>
      <c r="ALX56" s="20"/>
      <c r="ALY56" s="20"/>
      <c r="ALZ56" s="20"/>
      <c r="AMA56" s="20"/>
      <c r="AMB56" s="20"/>
      <c r="AMC56" s="20"/>
      <c r="AMD56" s="20"/>
      <c r="AME56" s="20"/>
      <c r="AMF56" s="20"/>
      <c r="AMG56" s="20"/>
      <c r="AMH56" s="20"/>
      <c r="AMI56" s="20"/>
      <c r="AMJ56" s="20"/>
      <c r="AMK56" s="20"/>
    </row>
    <row r="57" spans="1:1025" s="21" customFormat="1" ht="12.95" customHeight="1" x14ac:dyDescent="0.25">
      <c r="A57" s="26"/>
      <c r="B57" s="38" t="s">
        <v>258</v>
      </c>
      <c r="C57" s="23">
        <v>1.2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>
        <f>O57-C57</f>
        <v>-1.2</v>
      </c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  <c r="ZP57" s="20"/>
      <c r="ZQ57" s="20"/>
      <c r="ZR57" s="20"/>
      <c r="ZS57" s="20"/>
      <c r="ZT57" s="20"/>
      <c r="ZU57" s="20"/>
      <c r="ZV57" s="20"/>
      <c r="ZW57" s="20"/>
      <c r="ZX57" s="20"/>
      <c r="ZY57" s="20"/>
      <c r="ZZ57" s="20"/>
      <c r="AAA57" s="20"/>
      <c r="AAB57" s="20"/>
      <c r="AAC57" s="20"/>
      <c r="AAD57" s="20"/>
      <c r="AAE57" s="20"/>
      <c r="AAF57" s="20"/>
      <c r="AAG57" s="20"/>
      <c r="AAH57" s="20"/>
      <c r="AAI57" s="20"/>
      <c r="AAJ57" s="20"/>
      <c r="AAK57" s="20"/>
      <c r="AAL57" s="20"/>
      <c r="AAM57" s="20"/>
      <c r="AAN57" s="20"/>
      <c r="AAO57" s="20"/>
      <c r="AAP57" s="20"/>
      <c r="AAQ57" s="20"/>
      <c r="AAR57" s="20"/>
      <c r="AAS57" s="20"/>
      <c r="AAT57" s="20"/>
      <c r="AAU57" s="20"/>
      <c r="AAV57" s="20"/>
      <c r="AAW57" s="20"/>
      <c r="AAX57" s="20"/>
      <c r="AAY57" s="20"/>
      <c r="AAZ57" s="20"/>
      <c r="ABA57" s="20"/>
      <c r="ABB57" s="20"/>
      <c r="ABC57" s="20"/>
      <c r="ABD57" s="20"/>
      <c r="ABE57" s="20"/>
      <c r="ABF57" s="20"/>
      <c r="ABG57" s="20"/>
      <c r="ABH57" s="20"/>
      <c r="ABI57" s="20"/>
      <c r="ABJ57" s="20"/>
      <c r="ABK57" s="20"/>
      <c r="ABL57" s="20"/>
      <c r="ABM57" s="20"/>
      <c r="ABN57" s="20"/>
      <c r="ABO57" s="20"/>
      <c r="ABP57" s="20"/>
      <c r="ABQ57" s="20"/>
      <c r="ABR57" s="20"/>
      <c r="ABS57" s="20"/>
      <c r="ABT57" s="20"/>
      <c r="ABU57" s="20"/>
      <c r="ABV57" s="20"/>
      <c r="ABW57" s="20"/>
      <c r="ABX57" s="20"/>
      <c r="ABY57" s="20"/>
      <c r="ABZ57" s="20"/>
      <c r="ACA57" s="20"/>
      <c r="ACB57" s="20"/>
      <c r="ACC57" s="20"/>
      <c r="ACD57" s="20"/>
      <c r="ACE57" s="20"/>
      <c r="ACF57" s="20"/>
      <c r="ACG57" s="20"/>
      <c r="ACH57" s="20"/>
      <c r="ACI57" s="20"/>
      <c r="ACJ57" s="20"/>
      <c r="ACK57" s="20"/>
      <c r="ACL57" s="20"/>
      <c r="ACM57" s="20"/>
      <c r="ACN57" s="20"/>
      <c r="ACO57" s="20"/>
      <c r="ACP57" s="20"/>
      <c r="ACQ57" s="20"/>
      <c r="ACR57" s="20"/>
      <c r="ACS57" s="20"/>
      <c r="ACT57" s="20"/>
      <c r="ACU57" s="20"/>
      <c r="ACV57" s="20"/>
      <c r="ACW57" s="20"/>
      <c r="ACX57" s="20"/>
      <c r="ACY57" s="20"/>
      <c r="ACZ57" s="20"/>
      <c r="ADA57" s="20"/>
      <c r="ADB57" s="20"/>
      <c r="ADC57" s="20"/>
      <c r="ADD57" s="20"/>
      <c r="ADE57" s="20"/>
      <c r="ADF57" s="20"/>
      <c r="ADG57" s="20"/>
      <c r="ADH57" s="20"/>
      <c r="ADI57" s="20"/>
      <c r="ADJ57" s="20"/>
      <c r="ADK57" s="20"/>
      <c r="ADL57" s="20"/>
      <c r="ADM57" s="20"/>
      <c r="ADN57" s="20"/>
      <c r="ADO57" s="20"/>
      <c r="ADP57" s="20"/>
      <c r="ADQ57" s="20"/>
      <c r="ADR57" s="20"/>
      <c r="ADS57" s="20"/>
      <c r="ADT57" s="20"/>
      <c r="ADU57" s="20"/>
      <c r="ADV57" s="20"/>
      <c r="ADW57" s="20"/>
      <c r="ADX57" s="20"/>
      <c r="ADY57" s="20"/>
      <c r="ADZ57" s="20"/>
      <c r="AEA57" s="20"/>
      <c r="AEB57" s="20"/>
      <c r="AEC57" s="20"/>
      <c r="AED57" s="20"/>
      <c r="AEE57" s="20"/>
      <c r="AEF57" s="20"/>
      <c r="AEG57" s="20"/>
      <c r="AEH57" s="20"/>
      <c r="AEI57" s="20"/>
      <c r="AEJ57" s="20"/>
      <c r="AEK57" s="20"/>
      <c r="AEL57" s="20"/>
      <c r="AEM57" s="20"/>
      <c r="AEN57" s="20"/>
      <c r="AEO57" s="20"/>
      <c r="AEP57" s="20"/>
      <c r="AEQ57" s="20"/>
      <c r="AER57" s="20"/>
      <c r="AES57" s="20"/>
      <c r="AET57" s="20"/>
      <c r="AEU57" s="20"/>
      <c r="AEV57" s="20"/>
      <c r="AEW57" s="20"/>
      <c r="AEX57" s="20"/>
      <c r="AEY57" s="20"/>
      <c r="AEZ57" s="20"/>
      <c r="AFA57" s="20"/>
      <c r="AFB57" s="20"/>
      <c r="AFC57" s="20"/>
      <c r="AFD57" s="20"/>
      <c r="AFE57" s="20"/>
      <c r="AFF57" s="20"/>
      <c r="AFG57" s="20"/>
      <c r="AFH57" s="20"/>
      <c r="AFI57" s="20"/>
      <c r="AFJ57" s="20"/>
      <c r="AFK57" s="20"/>
      <c r="AFL57" s="20"/>
      <c r="AFM57" s="20"/>
      <c r="AFN57" s="20"/>
      <c r="AFO57" s="20"/>
      <c r="AFP57" s="20"/>
      <c r="AFQ57" s="20"/>
      <c r="AFR57" s="20"/>
      <c r="AFS57" s="20"/>
      <c r="AFT57" s="20"/>
      <c r="AFU57" s="20"/>
      <c r="AFV57" s="20"/>
      <c r="AFW57" s="20"/>
      <c r="AFX57" s="20"/>
      <c r="AFY57" s="20"/>
      <c r="AFZ57" s="20"/>
      <c r="AGA57" s="20"/>
      <c r="AGB57" s="20"/>
      <c r="AGC57" s="20"/>
      <c r="AGD57" s="20"/>
      <c r="AGE57" s="20"/>
      <c r="AGF57" s="20"/>
      <c r="AGG57" s="20"/>
      <c r="AGH57" s="20"/>
      <c r="AGI57" s="20"/>
      <c r="AGJ57" s="20"/>
      <c r="AGK57" s="20"/>
      <c r="AGL57" s="20"/>
      <c r="AGM57" s="20"/>
      <c r="AGN57" s="20"/>
      <c r="AGO57" s="20"/>
      <c r="AGP57" s="20"/>
      <c r="AGQ57" s="20"/>
      <c r="AGR57" s="20"/>
      <c r="AGS57" s="20"/>
      <c r="AGT57" s="20"/>
      <c r="AGU57" s="20"/>
      <c r="AGV57" s="20"/>
      <c r="AGW57" s="20"/>
      <c r="AGX57" s="20"/>
      <c r="AGY57" s="20"/>
      <c r="AGZ57" s="20"/>
      <c r="AHA57" s="20"/>
      <c r="AHB57" s="20"/>
      <c r="AHC57" s="20"/>
      <c r="AHD57" s="20"/>
      <c r="AHE57" s="20"/>
      <c r="AHF57" s="20"/>
      <c r="AHG57" s="20"/>
      <c r="AHH57" s="20"/>
      <c r="AHI57" s="20"/>
      <c r="AHJ57" s="20"/>
      <c r="AHK57" s="20"/>
      <c r="AHL57" s="20"/>
      <c r="AHM57" s="20"/>
      <c r="AHN57" s="20"/>
      <c r="AHO57" s="20"/>
      <c r="AHP57" s="20"/>
      <c r="AHQ57" s="20"/>
      <c r="AHR57" s="20"/>
      <c r="AHS57" s="20"/>
      <c r="AHT57" s="20"/>
      <c r="AHU57" s="20"/>
      <c r="AHV57" s="20"/>
      <c r="AHW57" s="20"/>
      <c r="AHX57" s="20"/>
      <c r="AHY57" s="20"/>
      <c r="AHZ57" s="20"/>
      <c r="AIA57" s="20"/>
      <c r="AIB57" s="20"/>
      <c r="AIC57" s="20"/>
      <c r="AID57" s="20"/>
      <c r="AIE57" s="20"/>
      <c r="AIF57" s="20"/>
      <c r="AIG57" s="20"/>
      <c r="AIH57" s="20"/>
      <c r="AII57" s="20"/>
      <c r="AIJ57" s="20"/>
      <c r="AIK57" s="20"/>
      <c r="AIL57" s="20"/>
      <c r="AIM57" s="20"/>
      <c r="AIN57" s="20"/>
      <c r="AIO57" s="20"/>
      <c r="AIP57" s="20"/>
      <c r="AIQ57" s="20"/>
      <c r="AIR57" s="20"/>
      <c r="AIS57" s="20"/>
      <c r="AIT57" s="20"/>
      <c r="AIU57" s="20"/>
      <c r="AIV57" s="20"/>
      <c r="AIW57" s="20"/>
      <c r="AIX57" s="20"/>
      <c r="AIY57" s="20"/>
      <c r="AIZ57" s="20"/>
      <c r="AJA57" s="20"/>
      <c r="AJB57" s="20"/>
      <c r="AJC57" s="20"/>
      <c r="AJD57" s="20"/>
      <c r="AJE57" s="20"/>
      <c r="AJF57" s="20"/>
      <c r="AJG57" s="20"/>
      <c r="AJH57" s="20"/>
      <c r="AJI57" s="20"/>
      <c r="AJJ57" s="20"/>
      <c r="AJK57" s="20"/>
      <c r="AJL57" s="20"/>
      <c r="AJM57" s="20"/>
      <c r="AJN57" s="20"/>
      <c r="AJO57" s="20"/>
      <c r="AJP57" s="20"/>
      <c r="AJQ57" s="20"/>
      <c r="AJR57" s="20"/>
      <c r="AJS57" s="20"/>
      <c r="AJT57" s="20"/>
      <c r="AJU57" s="20"/>
      <c r="AJV57" s="20"/>
      <c r="AJW57" s="20"/>
      <c r="AJX57" s="20"/>
      <c r="AJY57" s="20"/>
      <c r="AJZ57" s="20"/>
      <c r="AKA57" s="20"/>
      <c r="AKB57" s="20"/>
      <c r="AKC57" s="20"/>
      <c r="AKD57" s="20"/>
      <c r="AKE57" s="20"/>
      <c r="AKF57" s="20"/>
      <c r="AKG57" s="20"/>
      <c r="AKH57" s="20"/>
      <c r="AKI57" s="20"/>
      <c r="AKJ57" s="20"/>
      <c r="AKK57" s="20"/>
      <c r="AKL57" s="20"/>
      <c r="AKM57" s="20"/>
      <c r="AKN57" s="20"/>
      <c r="AKO57" s="20"/>
      <c r="AKP57" s="20"/>
      <c r="AKQ57" s="20"/>
      <c r="AKR57" s="20"/>
      <c r="AKS57" s="20"/>
      <c r="AKT57" s="20"/>
      <c r="AKU57" s="20"/>
      <c r="AKV57" s="20"/>
      <c r="AKW57" s="20"/>
      <c r="AKX57" s="20"/>
      <c r="AKY57" s="20"/>
      <c r="AKZ57" s="20"/>
      <c r="ALA57" s="20"/>
      <c r="ALB57" s="20"/>
      <c r="ALC57" s="20"/>
      <c r="ALD57" s="20"/>
      <c r="ALE57" s="20"/>
      <c r="ALF57" s="20"/>
      <c r="ALG57" s="20"/>
      <c r="ALH57" s="20"/>
      <c r="ALI57" s="20"/>
      <c r="ALJ57" s="20"/>
      <c r="ALK57" s="20"/>
      <c r="ALL57" s="20"/>
      <c r="ALM57" s="20"/>
      <c r="ALN57" s="20"/>
      <c r="ALO57" s="20"/>
      <c r="ALP57" s="20"/>
      <c r="ALQ57" s="20"/>
      <c r="ALR57" s="20"/>
      <c r="ALS57" s="20"/>
      <c r="ALT57" s="20"/>
      <c r="ALU57" s="20"/>
      <c r="ALV57" s="20"/>
      <c r="ALW57" s="20"/>
      <c r="ALX57" s="20"/>
      <c r="ALY57" s="20"/>
      <c r="ALZ57" s="20"/>
      <c r="AMA57" s="20"/>
      <c r="AMB57" s="20"/>
      <c r="AMC57" s="20"/>
      <c r="AMD57" s="20"/>
      <c r="AME57" s="20"/>
      <c r="AMF57" s="20"/>
      <c r="AMG57" s="20"/>
      <c r="AMH57" s="20"/>
      <c r="AMI57" s="20"/>
      <c r="AMJ57" s="20"/>
      <c r="AMK57" s="20"/>
    </row>
    <row r="58" spans="1:1025" s="21" customFormat="1" ht="12.95" customHeight="1" x14ac:dyDescent="0.25">
      <c r="A58" s="22">
        <v>27</v>
      </c>
      <c r="B58" s="38" t="s">
        <v>226</v>
      </c>
      <c r="C58" s="23">
        <v>2</v>
      </c>
      <c r="D58" s="24">
        <v>2.4</v>
      </c>
      <c r="E58" s="24"/>
      <c r="F58" s="24"/>
      <c r="G58" s="24">
        <v>2.4</v>
      </c>
      <c r="H58" s="24"/>
      <c r="I58" s="24"/>
      <c r="J58" s="24">
        <v>2.4</v>
      </c>
      <c r="K58" s="24"/>
      <c r="L58" s="24"/>
      <c r="M58" s="24"/>
      <c r="N58" s="24">
        <v>7.2</v>
      </c>
      <c r="O58" s="24">
        <v>0.72</v>
      </c>
      <c r="P58" s="25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  <c r="ZP58" s="20"/>
      <c r="ZQ58" s="20"/>
      <c r="ZR58" s="20"/>
      <c r="ZS58" s="20"/>
      <c r="ZT58" s="20"/>
      <c r="ZU58" s="20"/>
      <c r="ZV58" s="20"/>
      <c r="ZW58" s="20"/>
      <c r="ZX58" s="20"/>
      <c r="ZY58" s="20"/>
      <c r="ZZ58" s="20"/>
      <c r="AAA58" s="20"/>
      <c r="AAB58" s="20"/>
      <c r="AAC58" s="20"/>
      <c r="AAD58" s="20"/>
      <c r="AAE58" s="20"/>
      <c r="AAF58" s="20"/>
      <c r="AAG58" s="20"/>
      <c r="AAH58" s="20"/>
      <c r="AAI58" s="20"/>
      <c r="AAJ58" s="20"/>
      <c r="AAK58" s="20"/>
      <c r="AAL58" s="20"/>
      <c r="AAM58" s="20"/>
      <c r="AAN58" s="20"/>
      <c r="AAO58" s="20"/>
      <c r="AAP58" s="20"/>
      <c r="AAQ58" s="20"/>
      <c r="AAR58" s="20"/>
      <c r="AAS58" s="20"/>
      <c r="AAT58" s="20"/>
      <c r="AAU58" s="20"/>
      <c r="AAV58" s="20"/>
      <c r="AAW58" s="20"/>
      <c r="AAX58" s="20"/>
      <c r="AAY58" s="20"/>
      <c r="AAZ58" s="20"/>
      <c r="ABA58" s="20"/>
      <c r="ABB58" s="20"/>
      <c r="ABC58" s="20"/>
      <c r="ABD58" s="20"/>
      <c r="ABE58" s="20"/>
      <c r="ABF58" s="20"/>
      <c r="ABG58" s="20"/>
      <c r="ABH58" s="20"/>
      <c r="ABI58" s="20"/>
      <c r="ABJ58" s="20"/>
      <c r="ABK58" s="20"/>
      <c r="ABL58" s="20"/>
      <c r="ABM58" s="20"/>
      <c r="ABN58" s="20"/>
      <c r="ABO58" s="20"/>
      <c r="ABP58" s="20"/>
      <c r="ABQ58" s="20"/>
      <c r="ABR58" s="20"/>
      <c r="ABS58" s="20"/>
      <c r="ABT58" s="20"/>
      <c r="ABU58" s="20"/>
      <c r="ABV58" s="20"/>
      <c r="ABW58" s="20"/>
      <c r="ABX58" s="20"/>
      <c r="ABY58" s="20"/>
      <c r="ABZ58" s="20"/>
      <c r="ACA58" s="20"/>
      <c r="ACB58" s="20"/>
      <c r="ACC58" s="20"/>
      <c r="ACD58" s="20"/>
      <c r="ACE58" s="20"/>
      <c r="ACF58" s="20"/>
      <c r="ACG58" s="20"/>
      <c r="ACH58" s="20"/>
      <c r="ACI58" s="20"/>
      <c r="ACJ58" s="20"/>
      <c r="ACK58" s="20"/>
      <c r="ACL58" s="20"/>
      <c r="ACM58" s="20"/>
      <c r="ACN58" s="20"/>
      <c r="ACO58" s="20"/>
      <c r="ACP58" s="20"/>
      <c r="ACQ58" s="20"/>
      <c r="ACR58" s="20"/>
      <c r="ACS58" s="20"/>
      <c r="ACT58" s="20"/>
      <c r="ACU58" s="20"/>
      <c r="ACV58" s="20"/>
      <c r="ACW58" s="20"/>
      <c r="ACX58" s="20"/>
      <c r="ACY58" s="20"/>
      <c r="ACZ58" s="20"/>
      <c r="ADA58" s="20"/>
      <c r="ADB58" s="20"/>
      <c r="ADC58" s="20"/>
      <c r="ADD58" s="20"/>
      <c r="ADE58" s="20"/>
      <c r="ADF58" s="20"/>
      <c r="ADG58" s="20"/>
      <c r="ADH58" s="20"/>
      <c r="ADI58" s="20"/>
      <c r="ADJ58" s="20"/>
      <c r="ADK58" s="20"/>
      <c r="ADL58" s="20"/>
      <c r="ADM58" s="20"/>
      <c r="ADN58" s="20"/>
      <c r="ADO58" s="20"/>
      <c r="ADP58" s="20"/>
      <c r="ADQ58" s="20"/>
      <c r="ADR58" s="20"/>
      <c r="ADS58" s="20"/>
      <c r="ADT58" s="20"/>
      <c r="ADU58" s="20"/>
      <c r="ADV58" s="20"/>
      <c r="ADW58" s="20"/>
      <c r="ADX58" s="20"/>
      <c r="ADY58" s="20"/>
      <c r="ADZ58" s="20"/>
      <c r="AEA58" s="20"/>
      <c r="AEB58" s="20"/>
      <c r="AEC58" s="20"/>
      <c r="AED58" s="20"/>
      <c r="AEE58" s="20"/>
      <c r="AEF58" s="20"/>
      <c r="AEG58" s="20"/>
      <c r="AEH58" s="20"/>
      <c r="AEI58" s="20"/>
      <c r="AEJ58" s="20"/>
      <c r="AEK58" s="20"/>
      <c r="AEL58" s="20"/>
      <c r="AEM58" s="20"/>
      <c r="AEN58" s="20"/>
      <c r="AEO58" s="20"/>
      <c r="AEP58" s="20"/>
      <c r="AEQ58" s="20"/>
      <c r="AER58" s="20"/>
      <c r="AES58" s="20"/>
      <c r="AET58" s="20"/>
      <c r="AEU58" s="20"/>
      <c r="AEV58" s="20"/>
      <c r="AEW58" s="20"/>
      <c r="AEX58" s="20"/>
      <c r="AEY58" s="20"/>
      <c r="AEZ58" s="20"/>
      <c r="AFA58" s="20"/>
      <c r="AFB58" s="20"/>
      <c r="AFC58" s="20"/>
      <c r="AFD58" s="20"/>
      <c r="AFE58" s="20"/>
      <c r="AFF58" s="20"/>
      <c r="AFG58" s="20"/>
      <c r="AFH58" s="20"/>
      <c r="AFI58" s="20"/>
      <c r="AFJ58" s="20"/>
      <c r="AFK58" s="20"/>
      <c r="AFL58" s="20"/>
      <c r="AFM58" s="20"/>
      <c r="AFN58" s="20"/>
      <c r="AFO58" s="20"/>
      <c r="AFP58" s="20"/>
      <c r="AFQ58" s="20"/>
      <c r="AFR58" s="20"/>
      <c r="AFS58" s="20"/>
      <c r="AFT58" s="20"/>
      <c r="AFU58" s="20"/>
      <c r="AFV58" s="20"/>
      <c r="AFW58" s="20"/>
      <c r="AFX58" s="20"/>
      <c r="AFY58" s="20"/>
      <c r="AFZ58" s="20"/>
      <c r="AGA58" s="20"/>
      <c r="AGB58" s="20"/>
      <c r="AGC58" s="20"/>
      <c r="AGD58" s="20"/>
      <c r="AGE58" s="20"/>
      <c r="AGF58" s="20"/>
      <c r="AGG58" s="20"/>
      <c r="AGH58" s="20"/>
      <c r="AGI58" s="20"/>
      <c r="AGJ58" s="20"/>
      <c r="AGK58" s="20"/>
      <c r="AGL58" s="20"/>
      <c r="AGM58" s="20"/>
      <c r="AGN58" s="20"/>
      <c r="AGO58" s="20"/>
      <c r="AGP58" s="20"/>
      <c r="AGQ58" s="20"/>
      <c r="AGR58" s="20"/>
      <c r="AGS58" s="20"/>
      <c r="AGT58" s="20"/>
      <c r="AGU58" s="20"/>
      <c r="AGV58" s="20"/>
      <c r="AGW58" s="20"/>
      <c r="AGX58" s="20"/>
      <c r="AGY58" s="20"/>
      <c r="AGZ58" s="20"/>
      <c r="AHA58" s="20"/>
      <c r="AHB58" s="20"/>
      <c r="AHC58" s="20"/>
      <c r="AHD58" s="20"/>
      <c r="AHE58" s="20"/>
      <c r="AHF58" s="20"/>
      <c r="AHG58" s="20"/>
      <c r="AHH58" s="20"/>
      <c r="AHI58" s="20"/>
      <c r="AHJ58" s="20"/>
      <c r="AHK58" s="20"/>
      <c r="AHL58" s="20"/>
      <c r="AHM58" s="20"/>
      <c r="AHN58" s="20"/>
      <c r="AHO58" s="20"/>
      <c r="AHP58" s="20"/>
      <c r="AHQ58" s="20"/>
      <c r="AHR58" s="20"/>
      <c r="AHS58" s="20"/>
      <c r="AHT58" s="20"/>
      <c r="AHU58" s="20"/>
      <c r="AHV58" s="20"/>
      <c r="AHW58" s="20"/>
      <c r="AHX58" s="20"/>
      <c r="AHY58" s="20"/>
      <c r="AHZ58" s="20"/>
      <c r="AIA58" s="20"/>
      <c r="AIB58" s="20"/>
      <c r="AIC58" s="20"/>
      <c r="AID58" s="20"/>
      <c r="AIE58" s="20"/>
      <c r="AIF58" s="20"/>
      <c r="AIG58" s="20"/>
      <c r="AIH58" s="20"/>
      <c r="AII58" s="20"/>
      <c r="AIJ58" s="20"/>
      <c r="AIK58" s="20"/>
      <c r="AIL58" s="20"/>
      <c r="AIM58" s="20"/>
      <c r="AIN58" s="20"/>
      <c r="AIO58" s="20"/>
      <c r="AIP58" s="20"/>
      <c r="AIQ58" s="20"/>
      <c r="AIR58" s="20"/>
      <c r="AIS58" s="20"/>
      <c r="AIT58" s="20"/>
      <c r="AIU58" s="20"/>
      <c r="AIV58" s="20"/>
      <c r="AIW58" s="20"/>
      <c r="AIX58" s="20"/>
      <c r="AIY58" s="20"/>
      <c r="AIZ58" s="20"/>
      <c r="AJA58" s="20"/>
      <c r="AJB58" s="20"/>
      <c r="AJC58" s="20"/>
      <c r="AJD58" s="20"/>
      <c r="AJE58" s="20"/>
      <c r="AJF58" s="20"/>
      <c r="AJG58" s="20"/>
      <c r="AJH58" s="20"/>
      <c r="AJI58" s="20"/>
      <c r="AJJ58" s="20"/>
      <c r="AJK58" s="20"/>
      <c r="AJL58" s="20"/>
      <c r="AJM58" s="20"/>
      <c r="AJN58" s="20"/>
      <c r="AJO58" s="20"/>
      <c r="AJP58" s="20"/>
      <c r="AJQ58" s="20"/>
      <c r="AJR58" s="20"/>
      <c r="AJS58" s="20"/>
      <c r="AJT58" s="20"/>
      <c r="AJU58" s="20"/>
      <c r="AJV58" s="20"/>
      <c r="AJW58" s="20"/>
      <c r="AJX58" s="20"/>
      <c r="AJY58" s="20"/>
      <c r="AJZ58" s="20"/>
      <c r="AKA58" s="20"/>
      <c r="AKB58" s="20"/>
      <c r="AKC58" s="20"/>
      <c r="AKD58" s="20"/>
      <c r="AKE58" s="20"/>
      <c r="AKF58" s="20"/>
      <c r="AKG58" s="20"/>
      <c r="AKH58" s="20"/>
      <c r="AKI58" s="20"/>
      <c r="AKJ58" s="20"/>
      <c r="AKK58" s="20"/>
      <c r="AKL58" s="20"/>
      <c r="AKM58" s="20"/>
      <c r="AKN58" s="20"/>
      <c r="AKO58" s="20"/>
      <c r="AKP58" s="20"/>
      <c r="AKQ58" s="20"/>
      <c r="AKR58" s="20"/>
      <c r="AKS58" s="20"/>
      <c r="AKT58" s="20"/>
      <c r="AKU58" s="20"/>
      <c r="AKV58" s="20"/>
      <c r="AKW58" s="20"/>
      <c r="AKX58" s="20"/>
      <c r="AKY58" s="20"/>
      <c r="AKZ58" s="20"/>
      <c r="ALA58" s="20"/>
      <c r="ALB58" s="20"/>
      <c r="ALC58" s="20"/>
      <c r="ALD58" s="20"/>
      <c r="ALE58" s="20"/>
      <c r="ALF58" s="20"/>
      <c r="ALG58" s="20"/>
      <c r="ALH58" s="20"/>
      <c r="ALI58" s="20"/>
      <c r="ALJ58" s="20"/>
      <c r="ALK58" s="20"/>
      <c r="ALL58" s="20"/>
      <c r="ALM58" s="20"/>
      <c r="ALN58" s="20"/>
      <c r="ALO58" s="20"/>
      <c r="ALP58" s="20"/>
      <c r="ALQ58" s="20"/>
      <c r="ALR58" s="20"/>
      <c r="ALS58" s="20"/>
      <c r="ALT58" s="20"/>
      <c r="ALU58" s="20"/>
      <c r="ALV58" s="20"/>
      <c r="ALW58" s="20"/>
      <c r="ALX58" s="20"/>
      <c r="ALY58" s="20"/>
      <c r="ALZ58" s="20"/>
      <c r="AMA58" s="20"/>
      <c r="AMB58" s="20"/>
      <c r="AMC58" s="20"/>
      <c r="AMD58" s="20"/>
      <c r="AME58" s="20"/>
      <c r="AMF58" s="20"/>
      <c r="AMG58" s="20"/>
      <c r="AMH58" s="20"/>
      <c r="AMI58" s="20"/>
      <c r="AMJ58" s="20"/>
      <c r="AMK58" s="20"/>
    </row>
    <row r="59" spans="1:1025" s="21" customFormat="1" ht="12.95" customHeight="1" x14ac:dyDescent="0.25">
      <c r="A59" s="22">
        <v>28</v>
      </c>
      <c r="B59" s="38" t="s">
        <v>257</v>
      </c>
      <c r="C59" s="23">
        <v>1</v>
      </c>
      <c r="D59" s="24"/>
      <c r="E59" s="24"/>
      <c r="F59" s="24">
        <v>2</v>
      </c>
      <c r="G59" s="24"/>
      <c r="H59" s="24"/>
      <c r="I59" s="24"/>
      <c r="J59" s="24">
        <v>1.5</v>
      </c>
      <c r="K59" s="24"/>
      <c r="L59" s="24"/>
      <c r="M59" s="24"/>
      <c r="N59" s="24">
        <v>3.5</v>
      </c>
      <c r="O59" s="24">
        <f>N59/10</f>
        <v>0.35</v>
      </c>
      <c r="P59" s="25">
        <f>O59-C59</f>
        <v>-0.65</v>
      </c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  <c r="ZP59" s="20"/>
      <c r="ZQ59" s="20"/>
      <c r="ZR59" s="20"/>
      <c r="ZS59" s="20"/>
      <c r="ZT59" s="20"/>
      <c r="ZU59" s="20"/>
      <c r="ZV59" s="20"/>
      <c r="ZW59" s="20"/>
      <c r="ZX59" s="20"/>
      <c r="ZY59" s="20"/>
      <c r="ZZ59" s="20"/>
      <c r="AAA59" s="20"/>
      <c r="AAB59" s="20"/>
      <c r="AAC59" s="20"/>
      <c r="AAD59" s="20"/>
      <c r="AAE59" s="20"/>
      <c r="AAF59" s="20"/>
      <c r="AAG59" s="20"/>
      <c r="AAH59" s="20"/>
      <c r="AAI59" s="20"/>
      <c r="AAJ59" s="20"/>
      <c r="AAK59" s="20"/>
      <c r="AAL59" s="20"/>
      <c r="AAM59" s="20"/>
      <c r="AAN59" s="20"/>
      <c r="AAO59" s="20"/>
      <c r="AAP59" s="20"/>
      <c r="AAQ59" s="20"/>
      <c r="AAR59" s="20"/>
      <c r="AAS59" s="20"/>
      <c r="AAT59" s="20"/>
      <c r="AAU59" s="20"/>
      <c r="AAV59" s="20"/>
      <c r="AAW59" s="20"/>
      <c r="AAX59" s="20"/>
      <c r="AAY59" s="20"/>
      <c r="AAZ59" s="20"/>
      <c r="ABA59" s="20"/>
      <c r="ABB59" s="20"/>
      <c r="ABC59" s="20"/>
      <c r="ABD59" s="20"/>
      <c r="ABE59" s="20"/>
      <c r="ABF59" s="20"/>
      <c r="ABG59" s="20"/>
      <c r="ABH59" s="20"/>
      <c r="ABI59" s="20"/>
      <c r="ABJ59" s="20"/>
      <c r="ABK59" s="20"/>
      <c r="ABL59" s="20"/>
      <c r="ABM59" s="20"/>
      <c r="ABN59" s="20"/>
      <c r="ABO59" s="20"/>
      <c r="ABP59" s="20"/>
      <c r="ABQ59" s="20"/>
      <c r="ABR59" s="20"/>
      <c r="ABS59" s="20"/>
      <c r="ABT59" s="20"/>
      <c r="ABU59" s="20"/>
      <c r="ABV59" s="20"/>
      <c r="ABW59" s="20"/>
      <c r="ABX59" s="20"/>
      <c r="ABY59" s="20"/>
      <c r="ABZ59" s="20"/>
      <c r="ACA59" s="20"/>
      <c r="ACB59" s="20"/>
      <c r="ACC59" s="20"/>
      <c r="ACD59" s="20"/>
      <c r="ACE59" s="20"/>
      <c r="ACF59" s="20"/>
      <c r="ACG59" s="20"/>
      <c r="ACH59" s="20"/>
      <c r="ACI59" s="20"/>
      <c r="ACJ59" s="20"/>
      <c r="ACK59" s="20"/>
      <c r="ACL59" s="20"/>
      <c r="ACM59" s="20"/>
      <c r="ACN59" s="20"/>
      <c r="ACO59" s="20"/>
      <c r="ACP59" s="20"/>
      <c r="ACQ59" s="20"/>
      <c r="ACR59" s="20"/>
      <c r="ACS59" s="20"/>
      <c r="ACT59" s="20"/>
      <c r="ACU59" s="20"/>
      <c r="ACV59" s="20"/>
      <c r="ACW59" s="20"/>
      <c r="ACX59" s="20"/>
      <c r="ACY59" s="20"/>
      <c r="ACZ59" s="20"/>
      <c r="ADA59" s="20"/>
      <c r="ADB59" s="20"/>
      <c r="ADC59" s="20"/>
      <c r="ADD59" s="20"/>
      <c r="ADE59" s="20"/>
      <c r="ADF59" s="20"/>
      <c r="ADG59" s="20"/>
      <c r="ADH59" s="20"/>
      <c r="ADI59" s="20"/>
      <c r="ADJ59" s="20"/>
      <c r="ADK59" s="20"/>
      <c r="ADL59" s="20"/>
      <c r="ADM59" s="20"/>
      <c r="ADN59" s="20"/>
      <c r="ADO59" s="20"/>
      <c r="ADP59" s="20"/>
      <c r="ADQ59" s="20"/>
      <c r="ADR59" s="20"/>
      <c r="ADS59" s="20"/>
      <c r="ADT59" s="20"/>
      <c r="ADU59" s="20"/>
      <c r="ADV59" s="20"/>
      <c r="ADW59" s="20"/>
      <c r="ADX59" s="20"/>
      <c r="ADY59" s="20"/>
      <c r="ADZ59" s="20"/>
      <c r="AEA59" s="20"/>
      <c r="AEB59" s="20"/>
      <c r="AEC59" s="20"/>
      <c r="AED59" s="20"/>
      <c r="AEE59" s="20"/>
      <c r="AEF59" s="20"/>
      <c r="AEG59" s="20"/>
      <c r="AEH59" s="20"/>
      <c r="AEI59" s="20"/>
      <c r="AEJ59" s="20"/>
      <c r="AEK59" s="20"/>
      <c r="AEL59" s="20"/>
      <c r="AEM59" s="20"/>
      <c r="AEN59" s="20"/>
      <c r="AEO59" s="20"/>
      <c r="AEP59" s="20"/>
      <c r="AEQ59" s="20"/>
      <c r="AER59" s="20"/>
      <c r="AES59" s="20"/>
      <c r="AET59" s="20"/>
      <c r="AEU59" s="20"/>
      <c r="AEV59" s="20"/>
      <c r="AEW59" s="20"/>
      <c r="AEX59" s="20"/>
      <c r="AEY59" s="20"/>
      <c r="AEZ59" s="20"/>
      <c r="AFA59" s="20"/>
      <c r="AFB59" s="20"/>
      <c r="AFC59" s="20"/>
      <c r="AFD59" s="20"/>
      <c r="AFE59" s="20"/>
      <c r="AFF59" s="20"/>
      <c r="AFG59" s="20"/>
      <c r="AFH59" s="20"/>
      <c r="AFI59" s="20"/>
      <c r="AFJ59" s="20"/>
      <c r="AFK59" s="20"/>
      <c r="AFL59" s="20"/>
      <c r="AFM59" s="20"/>
      <c r="AFN59" s="20"/>
      <c r="AFO59" s="20"/>
      <c r="AFP59" s="20"/>
      <c r="AFQ59" s="20"/>
      <c r="AFR59" s="20"/>
      <c r="AFS59" s="20"/>
      <c r="AFT59" s="20"/>
      <c r="AFU59" s="20"/>
      <c r="AFV59" s="20"/>
      <c r="AFW59" s="20"/>
      <c r="AFX59" s="20"/>
      <c r="AFY59" s="20"/>
      <c r="AFZ59" s="20"/>
      <c r="AGA59" s="20"/>
      <c r="AGB59" s="20"/>
      <c r="AGC59" s="20"/>
      <c r="AGD59" s="20"/>
      <c r="AGE59" s="20"/>
      <c r="AGF59" s="20"/>
      <c r="AGG59" s="20"/>
      <c r="AGH59" s="20"/>
      <c r="AGI59" s="20"/>
      <c r="AGJ59" s="20"/>
      <c r="AGK59" s="20"/>
      <c r="AGL59" s="20"/>
      <c r="AGM59" s="20"/>
      <c r="AGN59" s="20"/>
      <c r="AGO59" s="20"/>
      <c r="AGP59" s="20"/>
      <c r="AGQ59" s="20"/>
      <c r="AGR59" s="20"/>
      <c r="AGS59" s="20"/>
      <c r="AGT59" s="20"/>
      <c r="AGU59" s="20"/>
      <c r="AGV59" s="20"/>
      <c r="AGW59" s="20"/>
      <c r="AGX59" s="20"/>
      <c r="AGY59" s="20"/>
      <c r="AGZ59" s="20"/>
      <c r="AHA59" s="20"/>
      <c r="AHB59" s="20"/>
      <c r="AHC59" s="20"/>
      <c r="AHD59" s="20"/>
      <c r="AHE59" s="20"/>
      <c r="AHF59" s="20"/>
      <c r="AHG59" s="20"/>
      <c r="AHH59" s="20"/>
      <c r="AHI59" s="20"/>
      <c r="AHJ59" s="20"/>
      <c r="AHK59" s="20"/>
      <c r="AHL59" s="20"/>
      <c r="AHM59" s="20"/>
      <c r="AHN59" s="20"/>
      <c r="AHO59" s="20"/>
      <c r="AHP59" s="20"/>
      <c r="AHQ59" s="20"/>
      <c r="AHR59" s="20"/>
      <c r="AHS59" s="20"/>
      <c r="AHT59" s="20"/>
      <c r="AHU59" s="20"/>
      <c r="AHV59" s="20"/>
      <c r="AHW59" s="20"/>
      <c r="AHX59" s="20"/>
      <c r="AHY59" s="20"/>
      <c r="AHZ59" s="20"/>
      <c r="AIA59" s="20"/>
      <c r="AIB59" s="20"/>
      <c r="AIC59" s="20"/>
      <c r="AID59" s="20"/>
      <c r="AIE59" s="20"/>
      <c r="AIF59" s="20"/>
      <c r="AIG59" s="20"/>
      <c r="AIH59" s="20"/>
      <c r="AII59" s="20"/>
      <c r="AIJ59" s="20"/>
      <c r="AIK59" s="20"/>
      <c r="AIL59" s="20"/>
      <c r="AIM59" s="20"/>
      <c r="AIN59" s="20"/>
      <c r="AIO59" s="20"/>
      <c r="AIP59" s="20"/>
      <c r="AIQ59" s="20"/>
      <c r="AIR59" s="20"/>
      <c r="AIS59" s="20"/>
      <c r="AIT59" s="20"/>
      <c r="AIU59" s="20"/>
      <c r="AIV59" s="20"/>
      <c r="AIW59" s="20"/>
      <c r="AIX59" s="20"/>
      <c r="AIY59" s="20"/>
      <c r="AIZ59" s="20"/>
      <c r="AJA59" s="20"/>
      <c r="AJB59" s="20"/>
      <c r="AJC59" s="20"/>
      <c r="AJD59" s="20"/>
      <c r="AJE59" s="20"/>
      <c r="AJF59" s="20"/>
      <c r="AJG59" s="20"/>
      <c r="AJH59" s="20"/>
      <c r="AJI59" s="20"/>
      <c r="AJJ59" s="20"/>
      <c r="AJK59" s="20"/>
      <c r="AJL59" s="20"/>
      <c r="AJM59" s="20"/>
      <c r="AJN59" s="20"/>
      <c r="AJO59" s="20"/>
      <c r="AJP59" s="20"/>
      <c r="AJQ59" s="20"/>
      <c r="AJR59" s="20"/>
      <c r="AJS59" s="20"/>
      <c r="AJT59" s="20"/>
      <c r="AJU59" s="20"/>
      <c r="AJV59" s="20"/>
      <c r="AJW59" s="20"/>
      <c r="AJX59" s="20"/>
      <c r="AJY59" s="20"/>
      <c r="AJZ59" s="20"/>
      <c r="AKA59" s="20"/>
      <c r="AKB59" s="20"/>
      <c r="AKC59" s="20"/>
      <c r="AKD59" s="20"/>
      <c r="AKE59" s="20"/>
      <c r="AKF59" s="20"/>
      <c r="AKG59" s="20"/>
      <c r="AKH59" s="20"/>
      <c r="AKI59" s="20"/>
      <c r="AKJ59" s="20"/>
      <c r="AKK59" s="20"/>
      <c r="AKL59" s="20"/>
      <c r="AKM59" s="20"/>
      <c r="AKN59" s="20"/>
      <c r="AKO59" s="20"/>
      <c r="AKP59" s="20"/>
      <c r="AKQ59" s="20"/>
      <c r="AKR59" s="20"/>
      <c r="AKS59" s="20"/>
      <c r="AKT59" s="20"/>
      <c r="AKU59" s="20"/>
      <c r="AKV59" s="20"/>
      <c r="AKW59" s="20"/>
      <c r="AKX59" s="20"/>
      <c r="AKY59" s="20"/>
      <c r="AKZ59" s="20"/>
      <c r="ALA59" s="20"/>
      <c r="ALB59" s="20"/>
      <c r="ALC59" s="20"/>
      <c r="ALD59" s="20"/>
      <c r="ALE59" s="20"/>
      <c r="ALF59" s="20"/>
      <c r="ALG59" s="20"/>
      <c r="ALH59" s="20"/>
      <c r="ALI59" s="20"/>
      <c r="ALJ59" s="20"/>
      <c r="ALK59" s="20"/>
      <c r="ALL59" s="20"/>
      <c r="ALM59" s="20"/>
      <c r="ALN59" s="20"/>
      <c r="ALO59" s="20"/>
      <c r="ALP59" s="20"/>
      <c r="ALQ59" s="20"/>
      <c r="ALR59" s="20"/>
      <c r="ALS59" s="20"/>
      <c r="ALT59" s="20"/>
      <c r="ALU59" s="20"/>
      <c r="ALV59" s="20"/>
      <c r="ALW59" s="20"/>
      <c r="ALX59" s="20"/>
      <c r="ALY59" s="20"/>
      <c r="ALZ59" s="20"/>
      <c r="AMA59" s="20"/>
      <c r="AMB59" s="20"/>
      <c r="AMC59" s="20"/>
      <c r="AMD59" s="20"/>
      <c r="AME59" s="20"/>
      <c r="AMF59" s="20"/>
      <c r="AMG59" s="20"/>
      <c r="AMH59" s="20"/>
      <c r="AMI59" s="20"/>
      <c r="AMJ59" s="20"/>
      <c r="AMK59" s="20"/>
    </row>
    <row r="60" spans="1:1025" s="21" customFormat="1" ht="12.95" customHeight="1" x14ac:dyDescent="0.25">
      <c r="A60" s="32">
        <v>29</v>
      </c>
      <c r="B60" s="40" t="s">
        <v>256</v>
      </c>
      <c r="C60" s="33">
        <v>5</v>
      </c>
      <c r="D60" s="34">
        <f>0.34+0.35</f>
        <v>0.69</v>
      </c>
      <c r="E60" s="34">
        <f>1.5+1.2+0.35+0.15</f>
        <v>3.2</v>
      </c>
      <c r="F60" s="34">
        <f>0.15+0.22</f>
        <v>0.37</v>
      </c>
      <c r="G60" s="34">
        <f>1+2+0.38+1</f>
        <v>4.38</v>
      </c>
      <c r="H60" s="34">
        <f>0.15+1.5</f>
        <v>1.65</v>
      </c>
      <c r="I60" s="34">
        <v>6.9</v>
      </c>
      <c r="J60" s="34">
        <v>2</v>
      </c>
      <c r="K60" s="34">
        <f>1.5+2</f>
        <v>3.5</v>
      </c>
      <c r="L60" s="34">
        <f>0.15+2+0.4+0.28</f>
        <v>2.83</v>
      </c>
      <c r="M60" s="34">
        <f>0.9+1.33</f>
        <v>2.23</v>
      </c>
      <c r="N60" s="34">
        <v>25</v>
      </c>
      <c r="O60" s="34">
        <v>2.5</v>
      </c>
      <c r="P60" s="35">
        <f>O60-C60</f>
        <v>-2.5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  <c r="ZP60" s="20"/>
      <c r="ZQ60" s="20"/>
      <c r="ZR60" s="20"/>
      <c r="ZS60" s="20"/>
      <c r="ZT60" s="20"/>
      <c r="ZU60" s="20"/>
      <c r="ZV60" s="20"/>
      <c r="ZW60" s="20"/>
      <c r="ZX60" s="20"/>
      <c r="ZY60" s="20"/>
      <c r="ZZ60" s="20"/>
      <c r="AAA60" s="20"/>
      <c r="AAB60" s="20"/>
      <c r="AAC60" s="20"/>
      <c r="AAD60" s="20"/>
      <c r="AAE60" s="20"/>
      <c r="AAF60" s="20"/>
      <c r="AAG60" s="20"/>
      <c r="AAH60" s="20"/>
      <c r="AAI60" s="20"/>
      <c r="AAJ60" s="20"/>
      <c r="AAK60" s="20"/>
      <c r="AAL60" s="20"/>
      <c r="AAM60" s="20"/>
      <c r="AAN60" s="20"/>
      <c r="AAO60" s="20"/>
      <c r="AAP60" s="20"/>
      <c r="AAQ60" s="20"/>
      <c r="AAR60" s="20"/>
      <c r="AAS60" s="20"/>
      <c r="AAT60" s="20"/>
      <c r="AAU60" s="20"/>
      <c r="AAV60" s="20"/>
      <c r="AAW60" s="20"/>
      <c r="AAX60" s="20"/>
      <c r="AAY60" s="20"/>
      <c r="AAZ60" s="20"/>
      <c r="ABA60" s="20"/>
      <c r="ABB60" s="20"/>
      <c r="ABC60" s="20"/>
      <c r="ABD60" s="20"/>
      <c r="ABE60" s="20"/>
      <c r="ABF60" s="20"/>
      <c r="ABG60" s="20"/>
      <c r="ABH60" s="20"/>
      <c r="ABI60" s="20"/>
      <c r="ABJ60" s="20"/>
      <c r="ABK60" s="20"/>
      <c r="ABL60" s="20"/>
      <c r="ABM60" s="20"/>
      <c r="ABN60" s="20"/>
      <c r="ABO60" s="20"/>
      <c r="ABP60" s="20"/>
      <c r="ABQ60" s="20"/>
      <c r="ABR60" s="20"/>
      <c r="ABS60" s="20"/>
      <c r="ABT60" s="20"/>
      <c r="ABU60" s="20"/>
      <c r="ABV60" s="20"/>
      <c r="ABW60" s="20"/>
      <c r="ABX60" s="20"/>
      <c r="ABY60" s="20"/>
      <c r="ABZ60" s="20"/>
      <c r="ACA60" s="20"/>
      <c r="ACB60" s="20"/>
      <c r="ACC60" s="20"/>
      <c r="ACD60" s="20"/>
      <c r="ACE60" s="20"/>
      <c r="ACF60" s="20"/>
      <c r="ACG60" s="20"/>
      <c r="ACH60" s="20"/>
      <c r="ACI60" s="20"/>
      <c r="ACJ60" s="20"/>
      <c r="ACK60" s="20"/>
      <c r="ACL60" s="20"/>
      <c r="ACM60" s="20"/>
      <c r="ACN60" s="20"/>
      <c r="ACO60" s="20"/>
      <c r="ACP60" s="20"/>
      <c r="ACQ60" s="20"/>
      <c r="ACR60" s="20"/>
      <c r="ACS60" s="20"/>
      <c r="ACT60" s="20"/>
      <c r="ACU60" s="20"/>
      <c r="ACV60" s="20"/>
      <c r="ACW60" s="20"/>
      <c r="ACX60" s="20"/>
      <c r="ACY60" s="20"/>
      <c r="ACZ60" s="20"/>
      <c r="ADA60" s="20"/>
      <c r="ADB60" s="20"/>
      <c r="ADC60" s="20"/>
      <c r="ADD60" s="20"/>
      <c r="ADE60" s="20"/>
      <c r="ADF60" s="20"/>
      <c r="ADG60" s="20"/>
      <c r="ADH60" s="20"/>
      <c r="ADI60" s="20"/>
      <c r="ADJ60" s="20"/>
      <c r="ADK60" s="20"/>
      <c r="ADL60" s="20"/>
      <c r="ADM60" s="20"/>
      <c r="ADN60" s="20"/>
      <c r="ADO60" s="20"/>
      <c r="ADP60" s="20"/>
      <c r="ADQ60" s="20"/>
      <c r="ADR60" s="20"/>
      <c r="ADS60" s="20"/>
      <c r="ADT60" s="20"/>
      <c r="ADU60" s="20"/>
      <c r="ADV60" s="20"/>
      <c r="ADW60" s="20"/>
      <c r="ADX60" s="20"/>
      <c r="ADY60" s="20"/>
      <c r="ADZ60" s="20"/>
      <c r="AEA60" s="20"/>
      <c r="AEB60" s="20"/>
      <c r="AEC60" s="20"/>
      <c r="AED60" s="20"/>
      <c r="AEE60" s="20"/>
      <c r="AEF60" s="20"/>
      <c r="AEG60" s="20"/>
      <c r="AEH60" s="20"/>
      <c r="AEI60" s="20"/>
      <c r="AEJ60" s="20"/>
      <c r="AEK60" s="20"/>
      <c r="AEL60" s="20"/>
      <c r="AEM60" s="20"/>
      <c r="AEN60" s="20"/>
      <c r="AEO60" s="20"/>
      <c r="AEP60" s="20"/>
      <c r="AEQ60" s="20"/>
      <c r="AER60" s="20"/>
      <c r="AES60" s="20"/>
      <c r="AET60" s="20"/>
      <c r="AEU60" s="20"/>
      <c r="AEV60" s="20"/>
      <c r="AEW60" s="20"/>
      <c r="AEX60" s="20"/>
      <c r="AEY60" s="20"/>
      <c r="AEZ60" s="20"/>
      <c r="AFA60" s="20"/>
      <c r="AFB60" s="20"/>
      <c r="AFC60" s="20"/>
      <c r="AFD60" s="20"/>
      <c r="AFE60" s="20"/>
      <c r="AFF60" s="20"/>
      <c r="AFG60" s="20"/>
      <c r="AFH60" s="20"/>
      <c r="AFI60" s="20"/>
      <c r="AFJ60" s="20"/>
      <c r="AFK60" s="20"/>
      <c r="AFL60" s="20"/>
      <c r="AFM60" s="20"/>
      <c r="AFN60" s="20"/>
      <c r="AFO60" s="20"/>
      <c r="AFP60" s="20"/>
      <c r="AFQ60" s="20"/>
      <c r="AFR60" s="20"/>
      <c r="AFS60" s="20"/>
      <c r="AFT60" s="20"/>
      <c r="AFU60" s="20"/>
      <c r="AFV60" s="20"/>
      <c r="AFW60" s="20"/>
      <c r="AFX60" s="20"/>
      <c r="AFY60" s="20"/>
      <c r="AFZ60" s="20"/>
      <c r="AGA60" s="20"/>
      <c r="AGB60" s="20"/>
      <c r="AGC60" s="20"/>
      <c r="AGD60" s="20"/>
      <c r="AGE60" s="20"/>
      <c r="AGF60" s="20"/>
      <c r="AGG60" s="20"/>
      <c r="AGH60" s="20"/>
      <c r="AGI60" s="20"/>
      <c r="AGJ60" s="20"/>
      <c r="AGK60" s="20"/>
      <c r="AGL60" s="20"/>
      <c r="AGM60" s="20"/>
      <c r="AGN60" s="20"/>
      <c r="AGO60" s="20"/>
      <c r="AGP60" s="20"/>
      <c r="AGQ60" s="20"/>
      <c r="AGR60" s="20"/>
      <c r="AGS60" s="20"/>
      <c r="AGT60" s="20"/>
      <c r="AGU60" s="20"/>
      <c r="AGV60" s="20"/>
      <c r="AGW60" s="20"/>
      <c r="AGX60" s="20"/>
      <c r="AGY60" s="20"/>
      <c r="AGZ60" s="20"/>
      <c r="AHA60" s="20"/>
      <c r="AHB60" s="20"/>
      <c r="AHC60" s="20"/>
      <c r="AHD60" s="20"/>
      <c r="AHE60" s="20"/>
      <c r="AHF60" s="20"/>
      <c r="AHG60" s="20"/>
      <c r="AHH60" s="20"/>
      <c r="AHI60" s="20"/>
      <c r="AHJ60" s="20"/>
      <c r="AHK60" s="20"/>
      <c r="AHL60" s="20"/>
      <c r="AHM60" s="20"/>
      <c r="AHN60" s="20"/>
      <c r="AHO60" s="20"/>
      <c r="AHP60" s="20"/>
      <c r="AHQ60" s="20"/>
      <c r="AHR60" s="20"/>
      <c r="AHS60" s="20"/>
      <c r="AHT60" s="20"/>
      <c r="AHU60" s="20"/>
      <c r="AHV60" s="20"/>
      <c r="AHW60" s="20"/>
      <c r="AHX60" s="20"/>
      <c r="AHY60" s="20"/>
      <c r="AHZ60" s="20"/>
      <c r="AIA60" s="20"/>
      <c r="AIB60" s="20"/>
      <c r="AIC60" s="20"/>
      <c r="AID60" s="20"/>
      <c r="AIE60" s="20"/>
      <c r="AIF60" s="20"/>
      <c r="AIG60" s="20"/>
      <c r="AIH60" s="20"/>
      <c r="AII60" s="20"/>
      <c r="AIJ60" s="20"/>
      <c r="AIK60" s="20"/>
      <c r="AIL60" s="20"/>
      <c r="AIM60" s="20"/>
      <c r="AIN60" s="20"/>
      <c r="AIO60" s="20"/>
      <c r="AIP60" s="20"/>
      <c r="AIQ60" s="20"/>
      <c r="AIR60" s="20"/>
      <c r="AIS60" s="20"/>
      <c r="AIT60" s="20"/>
      <c r="AIU60" s="20"/>
      <c r="AIV60" s="20"/>
      <c r="AIW60" s="20"/>
      <c r="AIX60" s="20"/>
      <c r="AIY60" s="20"/>
      <c r="AIZ60" s="20"/>
      <c r="AJA60" s="20"/>
      <c r="AJB60" s="20"/>
      <c r="AJC60" s="20"/>
      <c r="AJD60" s="20"/>
      <c r="AJE60" s="20"/>
      <c r="AJF60" s="20"/>
      <c r="AJG60" s="20"/>
      <c r="AJH60" s="20"/>
      <c r="AJI60" s="20"/>
      <c r="AJJ60" s="20"/>
      <c r="AJK60" s="20"/>
      <c r="AJL60" s="20"/>
      <c r="AJM60" s="20"/>
      <c r="AJN60" s="20"/>
      <c r="AJO60" s="20"/>
      <c r="AJP60" s="20"/>
      <c r="AJQ60" s="20"/>
      <c r="AJR60" s="20"/>
      <c r="AJS60" s="20"/>
      <c r="AJT60" s="20"/>
      <c r="AJU60" s="20"/>
      <c r="AJV60" s="20"/>
      <c r="AJW60" s="20"/>
      <c r="AJX60" s="20"/>
      <c r="AJY60" s="20"/>
      <c r="AJZ60" s="20"/>
      <c r="AKA60" s="20"/>
      <c r="AKB60" s="20"/>
      <c r="AKC60" s="20"/>
      <c r="AKD60" s="20"/>
      <c r="AKE60" s="20"/>
      <c r="AKF60" s="20"/>
      <c r="AKG60" s="20"/>
      <c r="AKH60" s="20"/>
      <c r="AKI60" s="20"/>
      <c r="AKJ60" s="20"/>
      <c r="AKK60" s="20"/>
      <c r="AKL60" s="20"/>
      <c r="AKM60" s="20"/>
      <c r="AKN60" s="20"/>
      <c r="AKO60" s="20"/>
      <c r="AKP60" s="20"/>
      <c r="AKQ60" s="20"/>
      <c r="AKR60" s="20"/>
      <c r="AKS60" s="20"/>
      <c r="AKT60" s="20"/>
      <c r="AKU60" s="20"/>
      <c r="AKV60" s="20"/>
      <c r="AKW60" s="20"/>
      <c r="AKX60" s="20"/>
      <c r="AKY60" s="20"/>
      <c r="AKZ60" s="20"/>
      <c r="ALA60" s="20"/>
      <c r="ALB60" s="20"/>
      <c r="ALC60" s="20"/>
      <c r="ALD60" s="20"/>
      <c r="ALE60" s="20"/>
      <c r="ALF60" s="20"/>
      <c r="ALG60" s="20"/>
      <c r="ALH60" s="20"/>
      <c r="ALI60" s="20"/>
      <c r="ALJ60" s="20"/>
      <c r="ALK60" s="20"/>
      <c r="ALL60" s="20"/>
      <c r="ALM60" s="20"/>
      <c r="ALN60" s="20"/>
      <c r="ALO60" s="20"/>
      <c r="ALP60" s="20"/>
      <c r="ALQ60" s="20"/>
      <c r="ALR60" s="20"/>
      <c r="ALS60" s="20"/>
      <c r="ALT60" s="20"/>
      <c r="ALU60" s="20"/>
      <c r="ALV60" s="20"/>
      <c r="ALW60" s="20"/>
      <c r="ALX60" s="20"/>
      <c r="ALY60" s="20"/>
      <c r="ALZ60" s="20"/>
      <c r="AMA60" s="20"/>
      <c r="AMB60" s="20"/>
      <c r="AMC60" s="20"/>
      <c r="AMD60" s="20"/>
      <c r="AME60" s="20"/>
      <c r="AMF60" s="20"/>
      <c r="AMG60" s="20"/>
      <c r="AMH60" s="20"/>
      <c r="AMI60" s="20"/>
      <c r="AMJ60" s="20"/>
      <c r="AMK60" s="20"/>
    </row>
    <row r="61" spans="1:1025" s="21" customFormat="1" ht="12.95" customHeight="1" x14ac:dyDescent="0.25">
      <c r="A61" s="26"/>
      <c r="B61" s="39" t="s">
        <v>256</v>
      </c>
      <c r="C61" s="27">
        <v>5</v>
      </c>
      <c r="D61" s="28">
        <f>0.15+0.41+2.55</f>
        <v>3.11</v>
      </c>
      <c r="E61" s="28">
        <f>0.25+2+0.5</f>
        <v>2.75</v>
      </c>
      <c r="F61" s="28">
        <v>1</v>
      </c>
      <c r="G61" s="28">
        <f>2+0.8</f>
        <v>2.8</v>
      </c>
      <c r="H61" s="28">
        <f>0.15+2+0.32+0.75</f>
        <v>3.2199999999999998</v>
      </c>
      <c r="I61" s="28">
        <f>2+0.45+1.05+0.35</f>
        <v>3.85</v>
      </c>
      <c r="J61" s="28">
        <f>0.15+0.92</f>
        <v>1.07</v>
      </c>
      <c r="K61" s="28">
        <f>2+0.32+1</f>
        <v>3.32</v>
      </c>
      <c r="L61" s="28">
        <f>0.15+0.22+0.28</f>
        <v>0.65</v>
      </c>
      <c r="M61" s="28">
        <f>2+0.7+0.6</f>
        <v>3.3000000000000003</v>
      </c>
      <c r="N61" s="28">
        <f>Таблица4[[#This Row],[Столбец13]]+Таблица4[[#This Row],[Столбец12]]+Таблица4[[#This Row],[Столбец11]]+Таблица4[[#This Row],[Столбец10]]+Таблица4[[#This Row],[Столбец9]]+Таблица4[[#This Row],[Столбец8]]+Таблица4[[#This Row],[Столбец7]]+Таблица4[[#This Row],[Столбец6]]+Таблица4[[#This Row],[Столбец5]]+Таблица4[[#This Row],[Столбец4]]</f>
        <v>25.07</v>
      </c>
      <c r="O61" s="28">
        <f>Таблица4[[#This Row],[Столбец14]]/10</f>
        <v>2.5070000000000001</v>
      </c>
      <c r="P61" s="29">
        <f>O61-C61</f>
        <v>-2.4929999999999999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  <c r="ZH61" s="20"/>
      <c r="ZI61" s="20"/>
      <c r="ZJ61" s="20"/>
      <c r="ZK61" s="20"/>
      <c r="ZL61" s="20"/>
      <c r="ZM61" s="20"/>
      <c r="ZN61" s="20"/>
      <c r="ZO61" s="20"/>
      <c r="ZP61" s="20"/>
      <c r="ZQ61" s="20"/>
      <c r="ZR61" s="20"/>
      <c r="ZS61" s="20"/>
      <c r="ZT61" s="20"/>
      <c r="ZU61" s="20"/>
      <c r="ZV61" s="20"/>
      <c r="ZW61" s="20"/>
      <c r="ZX61" s="20"/>
      <c r="ZY61" s="20"/>
      <c r="ZZ61" s="20"/>
      <c r="AAA61" s="20"/>
      <c r="AAB61" s="20"/>
      <c r="AAC61" s="20"/>
      <c r="AAD61" s="20"/>
      <c r="AAE61" s="20"/>
      <c r="AAF61" s="20"/>
      <c r="AAG61" s="20"/>
      <c r="AAH61" s="20"/>
      <c r="AAI61" s="20"/>
      <c r="AAJ61" s="20"/>
      <c r="AAK61" s="20"/>
      <c r="AAL61" s="20"/>
      <c r="AAM61" s="20"/>
      <c r="AAN61" s="20"/>
      <c r="AAO61" s="20"/>
      <c r="AAP61" s="20"/>
      <c r="AAQ61" s="20"/>
      <c r="AAR61" s="20"/>
      <c r="AAS61" s="20"/>
      <c r="AAT61" s="20"/>
      <c r="AAU61" s="20"/>
      <c r="AAV61" s="20"/>
      <c r="AAW61" s="20"/>
      <c r="AAX61" s="20"/>
      <c r="AAY61" s="20"/>
      <c r="AAZ61" s="20"/>
      <c r="ABA61" s="20"/>
      <c r="ABB61" s="20"/>
      <c r="ABC61" s="20"/>
      <c r="ABD61" s="20"/>
      <c r="ABE61" s="20"/>
      <c r="ABF61" s="20"/>
      <c r="ABG61" s="20"/>
      <c r="ABH61" s="20"/>
      <c r="ABI61" s="20"/>
      <c r="ABJ61" s="20"/>
      <c r="ABK61" s="20"/>
      <c r="ABL61" s="20"/>
      <c r="ABM61" s="20"/>
      <c r="ABN61" s="20"/>
      <c r="ABO61" s="20"/>
      <c r="ABP61" s="20"/>
      <c r="ABQ61" s="20"/>
      <c r="ABR61" s="20"/>
      <c r="ABS61" s="20"/>
      <c r="ABT61" s="20"/>
      <c r="ABU61" s="20"/>
      <c r="ABV61" s="20"/>
      <c r="ABW61" s="20"/>
      <c r="ABX61" s="20"/>
      <c r="ABY61" s="20"/>
      <c r="ABZ61" s="20"/>
      <c r="ACA61" s="20"/>
      <c r="ACB61" s="20"/>
      <c r="ACC61" s="20"/>
      <c r="ACD61" s="20"/>
      <c r="ACE61" s="20"/>
      <c r="ACF61" s="20"/>
      <c r="ACG61" s="20"/>
      <c r="ACH61" s="20"/>
      <c r="ACI61" s="20"/>
      <c r="ACJ61" s="20"/>
      <c r="ACK61" s="20"/>
      <c r="ACL61" s="20"/>
      <c r="ACM61" s="20"/>
      <c r="ACN61" s="20"/>
      <c r="ACO61" s="20"/>
      <c r="ACP61" s="20"/>
      <c r="ACQ61" s="20"/>
      <c r="ACR61" s="20"/>
      <c r="ACS61" s="20"/>
      <c r="ACT61" s="20"/>
      <c r="ACU61" s="20"/>
      <c r="ACV61" s="20"/>
      <c r="ACW61" s="20"/>
      <c r="ACX61" s="20"/>
      <c r="ACY61" s="20"/>
      <c r="ACZ61" s="20"/>
      <c r="ADA61" s="20"/>
      <c r="ADB61" s="20"/>
      <c r="ADC61" s="20"/>
      <c r="ADD61" s="20"/>
      <c r="ADE61" s="20"/>
      <c r="ADF61" s="20"/>
      <c r="ADG61" s="20"/>
      <c r="ADH61" s="20"/>
      <c r="ADI61" s="20"/>
      <c r="ADJ61" s="20"/>
      <c r="ADK61" s="20"/>
      <c r="ADL61" s="20"/>
      <c r="ADM61" s="20"/>
      <c r="ADN61" s="20"/>
      <c r="ADO61" s="20"/>
      <c r="ADP61" s="20"/>
      <c r="ADQ61" s="20"/>
      <c r="ADR61" s="20"/>
      <c r="ADS61" s="20"/>
      <c r="ADT61" s="20"/>
      <c r="ADU61" s="20"/>
      <c r="ADV61" s="20"/>
      <c r="ADW61" s="20"/>
      <c r="ADX61" s="20"/>
      <c r="ADY61" s="20"/>
      <c r="ADZ61" s="20"/>
      <c r="AEA61" s="20"/>
      <c r="AEB61" s="20"/>
      <c r="AEC61" s="20"/>
      <c r="AED61" s="20"/>
      <c r="AEE61" s="20"/>
      <c r="AEF61" s="20"/>
      <c r="AEG61" s="20"/>
      <c r="AEH61" s="20"/>
      <c r="AEI61" s="20"/>
      <c r="AEJ61" s="20"/>
      <c r="AEK61" s="20"/>
      <c r="AEL61" s="20"/>
      <c r="AEM61" s="20"/>
      <c r="AEN61" s="20"/>
      <c r="AEO61" s="20"/>
      <c r="AEP61" s="20"/>
      <c r="AEQ61" s="20"/>
      <c r="AER61" s="20"/>
      <c r="AES61" s="20"/>
      <c r="AET61" s="20"/>
      <c r="AEU61" s="20"/>
      <c r="AEV61" s="20"/>
      <c r="AEW61" s="20"/>
      <c r="AEX61" s="20"/>
      <c r="AEY61" s="20"/>
      <c r="AEZ61" s="20"/>
      <c r="AFA61" s="20"/>
      <c r="AFB61" s="20"/>
      <c r="AFC61" s="20"/>
      <c r="AFD61" s="20"/>
      <c r="AFE61" s="20"/>
      <c r="AFF61" s="20"/>
      <c r="AFG61" s="20"/>
      <c r="AFH61" s="20"/>
      <c r="AFI61" s="20"/>
      <c r="AFJ61" s="20"/>
      <c r="AFK61" s="20"/>
      <c r="AFL61" s="20"/>
      <c r="AFM61" s="20"/>
      <c r="AFN61" s="20"/>
      <c r="AFO61" s="20"/>
      <c r="AFP61" s="20"/>
      <c r="AFQ61" s="20"/>
      <c r="AFR61" s="20"/>
      <c r="AFS61" s="20"/>
      <c r="AFT61" s="20"/>
      <c r="AFU61" s="20"/>
      <c r="AFV61" s="20"/>
      <c r="AFW61" s="20"/>
      <c r="AFX61" s="20"/>
      <c r="AFY61" s="20"/>
      <c r="AFZ61" s="20"/>
      <c r="AGA61" s="20"/>
      <c r="AGB61" s="20"/>
      <c r="AGC61" s="20"/>
      <c r="AGD61" s="20"/>
      <c r="AGE61" s="20"/>
      <c r="AGF61" s="20"/>
      <c r="AGG61" s="20"/>
      <c r="AGH61" s="20"/>
      <c r="AGI61" s="20"/>
      <c r="AGJ61" s="20"/>
      <c r="AGK61" s="20"/>
      <c r="AGL61" s="20"/>
      <c r="AGM61" s="20"/>
      <c r="AGN61" s="20"/>
      <c r="AGO61" s="20"/>
      <c r="AGP61" s="20"/>
      <c r="AGQ61" s="20"/>
      <c r="AGR61" s="20"/>
      <c r="AGS61" s="20"/>
      <c r="AGT61" s="20"/>
      <c r="AGU61" s="20"/>
      <c r="AGV61" s="20"/>
      <c r="AGW61" s="20"/>
      <c r="AGX61" s="20"/>
      <c r="AGY61" s="20"/>
      <c r="AGZ61" s="20"/>
      <c r="AHA61" s="20"/>
      <c r="AHB61" s="20"/>
      <c r="AHC61" s="20"/>
      <c r="AHD61" s="20"/>
      <c r="AHE61" s="20"/>
      <c r="AHF61" s="20"/>
      <c r="AHG61" s="20"/>
      <c r="AHH61" s="20"/>
      <c r="AHI61" s="20"/>
      <c r="AHJ61" s="20"/>
      <c r="AHK61" s="20"/>
      <c r="AHL61" s="20"/>
      <c r="AHM61" s="20"/>
      <c r="AHN61" s="20"/>
      <c r="AHO61" s="20"/>
      <c r="AHP61" s="20"/>
      <c r="AHQ61" s="20"/>
      <c r="AHR61" s="20"/>
      <c r="AHS61" s="20"/>
      <c r="AHT61" s="20"/>
      <c r="AHU61" s="20"/>
      <c r="AHV61" s="20"/>
      <c r="AHW61" s="20"/>
      <c r="AHX61" s="20"/>
      <c r="AHY61" s="20"/>
      <c r="AHZ61" s="20"/>
      <c r="AIA61" s="20"/>
      <c r="AIB61" s="20"/>
      <c r="AIC61" s="20"/>
      <c r="AID61" s="20"/>
      <c r="AIE61" s="20"/>
      <c r="AIF61" s="20"/>
      <c r="AIG61" s="20"/>
      <c r="AIH61" s="20"/>
      <c r="AII61" s="20"/>
      <c r="AIJ61" s="20"/>
      <c r="AIK61" s="20"/>
      <c r="AIL61" s="20"/>
      <c r="AIM61" s="20"/>
      <c r="AIN61" s="20"/>
      <c r="AIO61" s="20"/>
      <c r="AIP61" s="20"/>
      <c r="AIQ61" s="20"/>
      <c r="AIR61" s="20"/>
      <c r="AIS61" s="20"/>
      <c r="AIT61" s="20"/>
      <c r="AIU61" s="20"/>
      <c r="AIV61" s="20"/>
      <c r="AIW61" s="20"/>
      <c r="AIX61" s="20"/>
      <c r="AIY61" s="20"/>
      <c r="AIZ61" s="20"/>
      <c r="AJA61" s="20"/>
      <c r="AJB61" s="20"/>
      <c r="AJC61" s="20"/>
      <c r="AJD61" s="20"/>
      <c r="AJE61" s="20"/>
      <c r="AJF61" s="20"/>
      <c r="AJG61" s="20"/>
      <c r="AJH61" s="20"/>
      <c r="AJI61" s="20"/>
      <c r="AJJ61" s="20"/>
      <c r="AJK61" s="20"/>
      <c r="AJL61" s="20"/>
      <c r="AJM61" s="20"/>
      <c r="AJN61" s="20"/>
      <c r="AJO61" s="20"/>
      <c r="AJP61" s="20"/>
      <c r="AJQ61" s="20"/>
      <c r="AJR61" s="20"/>
      <c r="AJS61" s="20"/>
      <c r="AJT61" s="20"/>
      <c r="AJU61" s="20"/>
      <c r="AJV61" s="20"/>
      <c r="AJW61" s="20"/>
      <c r="AJX61" s="20"/>
      <c r="AJY61" s="20"/>
      <c r="AJZ61" s="20"/>
      <c r="AKA61" s="20"/>
      <c r="AKB61" s="20"/>
      <c r="AKC61" s="20"/>
      <c r="AKD61" s="20"/>
      <c r="AKE61" s="20"/>
      <c r="AKF61" s="20"/>
      <c r="AKG61" s="20"/>
      <c r="AKH61" s="20"/>
      <c r="AKI61" s="20"/>
      <c r="AKJ61" s="20"/>
      <c r="AKK61" s="20"/>
      <c r="AKL61" s="20"/>
      <c r="AKM61" s="20"/>
      <c r="AKN61" s="20"/>
      <c r="AKO61" s="20"/>
      <c r="AKP61" s="20"/>
      <c r="AKQ61" s="20"/>
      <c r="AKR61" s="20"/>
      <c r="AKS61" s="20"/>
      <c r="AKT61" s="20"/>
      <c r="AKU61" s="20"/>
      <c r="AKV61" s="20"/>
      <c r="AKW61" s="20"/>
      <c r="AKX61" s="20"/>
      <c r="AKY61" s="20"/>
      <c r="AKZ61" s="20"/>
      <c r="ALA61" s="20"/>
      <c r="ALB61" s="20"/>
      <c r="ALC61" s="20"/>
      <c r="ALD61" s="20"/>
      <c r="ALE61" s="20"/>
      <c r="ALF61" s="20"/>
      <c r="ALG61" s="20"/>
      <c r="ALH61" s="20"/>
      <c r="ALI61" s="20"/>
      <c r="ALJ61" s="20"/>
      <c r="ALK61" s="20"/>
      <c r="ALL61" s="20"/>
      <c r="ALM61" s="20"/>
      <c r="ALN61" s="20"/>
      <c r="ALO61" s="20"/>
      <c r="ALP61" s="20"/>
      <c r="ALQ61" s="20"/>
      <c r="ALR61" s="20"/>
      <c r="ALS61" s="20"/>
      <c r="ALT61" s="20"/>
      <c r="ALU61" s="20"/>
      <c r="ALV61" s="20"/>
      <c r="ALW61" s="20"/>
      <c r="ALX61" s="20"/>
      <c r="ALY61" s="20"/>
      <c r="ALZ61" s="20"/>
      <c r="AMA61" s="20"/>
      <c r="AMB61" s="20"/>
      <c r="AMC61" s="20"/>
      <c r="AMD61" s="20"/>
      <c r="AME61" s="20"/>
      <c r="AMF61" s="20"/>
      <c r="AMG61" s="20"/>
      <c r="AMH61" s="20"/>
      <c r="AMI61" s="20"/>
      <c r="AMJ61" s="20"/>
      <c r="AMK61" s="20"/>
    </row>
  </sheetData>
  <mergeCells count="10">
    <mergeCell ref="A1:P1"/>
    <mergeCell ref="D2:M2"/>
    <mergeCell ref="D3:H3"/>
    <mergeCell ref="I3:M3"/>
    <mergeCell ref="N2:N4"/>
    <mergeCell ref="O2:O4"/>
    <mergeCell ref="P2:P4"/>
    <mergeCell ref="B2:B4"/>
    <mergeCell ref="A2:A4"/>
    <mergeCell ref="C2:C3"/>
  </mergeCells>
  <pageMargins left="0.19685039370078741" right="0.19685039370078741" top="0.19685039370078741" bottom="0.19685039370078741" header="0" footer="0"/>
  <pageSetup paperSize="9" scale="71" firstPageNumber="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Мл.школьники</vt:lpstr>
      <vt:lpstr>Вед 7-10</vt:lpstr>
      <vt:lpstr>'Вед 7-10'!Область_печати</vt:lpstr>
      <vt:lpstr>Мл.школьники!Область_печати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Лютикова</dc:creator>
  <cp:lastModifiedBy>Пользователь Windows</cp:lastModifiedBy>
  <cp:lastPrinted>2020-08-26T02:59:11Z</cp:lastPrinted>
  <dcterms:created xsi:type="dcterms:W3CDTF">2020-07-25T05:47:13Z</dcterms:created>
  <dcterms:modified xsi:type="dcterms:W3CDTF">2022-09-09T04:05:30Z</dcterms:modified>
</cp:coreProperties>
</file>