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05" windowWidth="27555" windowHeight="12300"/>
  </bookViews>
  <sheets>
    <sheet name="Мл.школьники" sheetId="1" r:id="rId1"/>
    <sheet name="Вед 7-10" sheetId="7" r:id="rId2"/>
  </sheets>
  <definedNames>
    <definedName name="_xlnm.Print_Area" localSheetId="1">'Вед 7-10'!$A$1:$P$61</definedName>
    <definedName name="_xlnm.Print_Area" localSheetId="0">Мл.школьники!$A$1:$O$952</definedName>
  </definedNames>
  <calcPr calcId="152511"/>
</workbook>
</file>

<file path=xl/calcChain.xml><?xml version="1.0" encoding="utf-8"?>
<calcChain xmlns="http://schemas.openxmlformats.org/spreadsheetml/2006/main">
  <c r="F20" i="7" l="1"/>
  <c r="M61" i="7" l="1"/>
  <c r="N61" i="7" s="1"/>
  <c r="O61" i="7" s="1"/>
  <c r="M60" i="7"/>
  <c r="L61" i="7"/>
  <c r="L60" i="7"/>
  <c r="K61" i="7"/>
  <c r="K60" i="7"/>
  <c r="J61" i="7"/>
  <c r="I61" i="7"/>
  <c r="H61" i="7"/>
  <c r="H60" i="7"/>
  <c r="G61" i="7"/>
  <c r="G60" i="7"/>
  <c r="F60" i="7"/>
  <c r="E61" i="7"/>
  <c r="E60" i="7"/>
  <c r="D61" i="7"/>
  <c r="D60" i="7"/>
  <c r="N53" i="7"/>
  <c r="O53" i="7" s="1"/>
  <c r="N51" i="7"/>
  <c r="O51" i="7" s="1"/>
  <c r="L50" i="7"/>
  <c r="K50" i="7"/>
  <c r="J51" i="7"/>
  <c r="J50" i="7"/>
  <c r="I51" i="7"/>
  <c r="H51" i="7"/>
  <c r="H50" i="7"/>
  <c r="G50" i="7"/>
  <c r="F50" i="7"/>
  <c r="E50" i="7"/>
  <c r="D50" i="7"/>
  <c r="I48" i="7"/>
  <c r="H49" i="7"/>
  <c r="N49" i="7" s="1"/>
  <c r="O49" i="7" s="1"/>
  <c r="G49" i="7"/>
  <c r="F48" i="7"/>
  <c r="L47" i="7"/>
  <c r="N47" i="7" s="1"/>
  <c r="O47" i="7" s="1"/>
  <c r="L46" i="7"/>
  <c r="K47" i="7"/>
  <c r="J47" i="7"/>
  <c r="J46" i="7"/>
  <c r="I47" i="7"/>
  <c r="I46" i="7"/>
  <c r="H47" i="7"/>
  <c r="H46" i="7"/>
  <c r="G47" i="7"/>
  <c r="G46" i="7"/>
  <c r="F47" i="7"/>
  <c r="F46" i="7"/>
  <c r="E46" i="7"/>
  <c r="M45" i="7"/>
  <c r="N45" i="7" s="1"/>
  <c r="O45" i="7" s="1"/>
  <c r="L45" i="7"/>
  <c r="L44" i="7"/>
  <c r="I44" i="7"/>
  <c r="H45" i="7"/>
  <c r="H44" i="7"/>
  <c r="G45" i="7"/>
  <c r="F44" i="7"/>
  <c r="E45" i="7"/>
  <c r="E44" i="7"/>
  <c r="D45" i="7"/>
  <c r="D44" i="7"/>
  <c r="H43" i="7"/>
  <c r="N43" i="7" s="1"/>
  <c r="O43" i="7" s="1"/>
  <c r="N35" i="7"/>
  <c r="O35" i="7" s="1"/>
  <c r="I34" i="7"/>
  <c r="H34" i="7"/>
  <c r="D34" i="7"/>
  <c r="O27" i="7"/>
  <c r="N27" i="7"/>
  <c r="N31" i="7"/>
  <c r="O31" i="7" s="1"/>
  <c r="O29" i="7"/>
  <c r="N29" i="7"/>
  <c r="J21" i="7"/>
  <c r="N21" i="7" s="1"/>
  <c r="O21" i="7" s="1"/>
  <c r="D21" i="7"/>
  <c r="M19" i="7"/>
  <c r="L19" i="7"/>
  <c r="L18" i="7"/>
  <c r="K19" i="7"/>
  <c r="K18" i="7"/>
  <c r="J19" i="7"/>
  <c r="J18" i="7"/>
  <c r="I19" i="7"/>
  <c r="I18" i="7"/>
  <c r="H19" i="7"/>
  <c r="H18" i="7"/>
  <c r="G19" i="7"/>
  <c r="G18" i="7"/>
  <c r="F19" i="7"/>
  <c r="F18" i="7"/>
  <c r="E19" i="7"/>
  <c r="E18" i="7"/>
  <c r="D19" i="7"/>
  <c r="N19" i="7" s="1"/>
  <c r="O19" i="7" s="1"/>
  <c r="D18" i="7"/>
  <c r="N17" i="7"/>
  <c r="O17" i="7" s="1"/>
  <c r="M17" i="7"/>
  <c r="K16" i="7"/>
  <c r="J16" i="7"/>
  <c r="F17" i="7"/>
  <c r="O15" i="7"/>
  <c r="N13" i="7"/>
  <c r="O13" i="7" s="1"/>
  <c r="M12" i="7"/>
  <c r="H12" i="7"/>
  <c r="E13" i="7"/>
  <c r="D12" i="7"/>
  <c r="N9" i="7"/>
  <c r="O9" i="7" s="1"/>
  <c r="L11" i="7"/>
  <c r="L10" i="7"/>
  <c r="I10" i="7"/>
  <c r="G11" i="7"/>
  <c r="N11" i="7" s="1"/>
  <c r="O11" i="7" s="1"/>
  <c r="F10" i="7"/>
  <c r="K9" i="7"/>
  <c r="H9" i="7"/>
  <c r="H8" i="7"/>
  <c r="F8" i="7"/>
  <c r="D8" i="7"/>
  <c r="D153" i="1" l="1"/>
  <c r="N162" i="1" l="1"/>
  <c r="M162" i="1"/>
  <c r="L162" i="1"/>
  <c r="K162" i="1"/>
  <c r="J162" i="1"/>
  <c r="I162" i="1"/>
  <c r="H162" i="1"/>
  <c r="F162" i="1"/>
  <c r="G162" i="1"/>
  <c r="G153" i="1" s="1"/>
  <c r="C167" i="1"/>
  <c r="C163" i="1"/>
  <c r="C165" i="1"/>
  <c r="C166" i="1"/>
  <c r="L572" i="1" l="1"/>
  <c r="J572" i="1"/>
  <c r="H572" i="1"/>
  <c r="D572" i="1"/>
  <c r="C579" i="1"/>
  <c r="C577" i="1"/>
  <c r="C576" i="1"/>
  <c r="C575" i="1"/>
  <c r="C573" i="1"/>
  <c r="C506" i="1"/>
  <c r="C505" i="1"/>
  <c r="E587" i="1"/>
  <c r="F587" i="1"/>
  <c r="G587" i="1"/>
  <c r="H587" i="1"/>
  <c r="I587" i="1"/>
  <c r="J587" i="1"/>
  <c r="K587" i="1"/>
  <c r="L587" i="1"/>
  <c r="M587" i="1"/>
  <c r="N587" i="1"/>
  <c r="O587" i="1"/>
  <c r="D587" i="1"/>
  <c r="E382" i="1"/>
  <c r="F382" i="1"/>
  <c r="G382" i="1"/>
  <c r="H382" i="1"/>
  <c r="I382" i="1"/>
  <c r="J382" i="1"/>
  <c r="K382" i="1"/>
  <c r="L382" i="1"/>
  <c r="M382" i="1"/>
  <c r="N382" i="1"/>
  <c r="O382" i="1"/>
  <c r="D382" i="1"/>
  <c r="O209" i="1"/>
  <c r="K209" i="1"/>
  <c r="E209" i="1"/>
  <c r="C211" i="1"/>
  <c r="C210" i="1"/>
  <c r="L46" i="1"/>
  <c r="J46" i="1"/>
  <c r="H46" i="1"/>
  <c r="E46" i="1"/>
  <c r="D46" i="1"/>
  <c r="C53" i="1"/>
  <c r="C52" i="1"/>
  <c r="C51" i="1"/>
  <c r="C50" i="1"/>
  <c r="E94" i="1"/>
  <c r="F94" i="1"/>
  <c r="G94" i="1"/>
  <c r="H94" i="1"/>
  <c r="I94" i="1"/>
  <c r="J94" i="1"/>
  <c r="K94" i="1"/>
  <c r="L94" i="1"/>
  <c r="M94" i="1"/>
  <c r="N94" i="1"/>
  <c r="O94" i="1"/>
  <c r="N916" i="1"/>
  <c r="M916" i="1"/>
  <c r="K916" i="1"/>
  <c r="J916" i="1"/>
  <c r="I916" i="1"/>
  <c r="H916" i="1"/>
  <c r="G916" i="1"/>
  <c r="F916" i="1"/>
  <c r="E916" i="1"/>
  <c r="E904" i="1" s="1"/>
  <c r="D916" i="1"/>
  <c r="C919" i="1"/>
  <c r="C922" i="1"/>
  <c r="C920" i="1"/>
  <c r="C918" i="1"/>
  <c r="C917" i="1"/>
  <c r="D904" i="1" l="1"/>
  <c r="C921" i="1"/>
  <c r="O909" i="1"/>
  <c r="O904" i="1" s="1"/>
  <c r="N909" i="1"/>
  <c r="N904" i="1" s="1"/>
  <c r="M909" i="1"/>
  <c r="M904" i="1" s="1"/>
  <c r="L909" i="1"/>
  <c r="L904" i="1" s="1"/>
  <c r="K909" i="1"/>
  <c r="K904" i="1" s="1"/>
  <c r="J909" i="1"/>
  <c r="J904" i="1" s="1"/>
  <c r="I909" i="1"/>
  <c r="I904" i="1" s="1"/>
  <c r="H909" i="1"/>
  <c r="H904" i="1" s="1"/>
  <c r="G909" i="1"/>
  <c r="G904" i="1" s="1"/>
  <c r="F909" i="1"/>
  <c r="F904" i="1" s="1"/>
  <c r="C915" i="1"/>
  <c r="C912" i="1"/>
  <c r="C911" i="1"/>
  <c r="C910" i="1"/>
  <c r="M893" i="1"/>
  <c r="K893" i="1"/>
  <c r="H893" i="1"/>
  <c r="F893" i="1"/>
  <c r="E893" i="1"/>
  <c r="D893" i="1"/>
  <c r="N887" i="1"/>
  <c r="O887" i="1"/>
  <c r="M887" i="1"/>
  <c r="L887" i="1"/>
  <c r="K887" i="1"/>
  <c r="J887" i="1"/>
  <c r="I887" i="1"/>
  <c r="H887" i="1"/>
  <c r="G887" i="1"/>
  <c r="F887" i="1"/>
  <c r="E887" i="1"/>
  <c r="D887" i="1"/>
  <c r="C892" i="1"/>
  <c r="C891" i="1"/>
  <c r="C890" i="1"/>
  <c r="C889" i="1"/>
  <c r="C888" i="1"/>
  <c r="D835" i="1"/>
  <c r="C841" i="1"/>
  <c r="C837" i="1"/>
  <c r="C836" i="1"/>
  <c r="C840" i="1"/>
  <c r="M831" i="1"/>
  <c r="J831" i="1"/>
  <c r="I831" i="1"/>
  <c r="E831" i="1"/>
  <c r="C832" i="1"/>
  <c r="O817" i="1"/>
  <c r="N817" i="1"/>
  <c r="M817" i="1"/>
  <c r="L817" i="1"/>
  <c r="K817" i="1"/>
  <c r="I817" i="1"/>
  <c r="H817" i="1"/>
  <c r="G817" i="1"/>
  <c r="F817" i="1"/>
  <c r="E817" i="1"/>
  <c r="D817" i="1"/>
  <c r="C819" i="1"/>
  <c r="C821" i="1"/>
  <c r="C820" i="1"/>
  <c r="C81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10" i="1"/>
  <c r="C809" i="1"/>
  <c r="O796" i="1"/>
  <c r="N796" i="1"/>
  <c r="M796" i="1"/>
  <c r="L796" i="1"/>
  <c r="K796" i="1"/>
  <c r="I796" i="1"/>
  <c r="H796" i="1"/>
  <c r="G796" i="1"/>
  <c r="F796" i="1"/>
  <c r="E796" i="1"/>
  <c r="D796" i="1"/>
  <c r="C802" i="1"/>
  <c r="C801" i="1"/>
  <c r="C800" i="1"/>
  <c r="C799" i="1"/>
  <c r="C798" i="1"/>
  <c r="C797" i="1"/>
  <c r="O790" i="1"/>
  <c r="N790" i="1"/>
  <c r="M790" i="1"/>
  <c r="L790" i="1"/>
  <c r="K790" i="1"/>
  <c r="I790" i="1"/>
  <c r="H790" i="1"/>
  <c r="G790" i="1"/>
  <c r="F790" i="1"/>
  <c r="E790" i="1"/>
  <c r="D790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9" i="1"/>
  <c r="C788" i="1"/>
  <c r="C787" i="1"/>
  <c r="C786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3" i="1"/>
  <c r="C776" i="1"/>
  <c r="O745" i="1"/>
  <c r="N745" i="1"/>
  <c r="M745" i="1"/>
  <c r="L745" i="1"/>
  <c r="K745" i="1"/>
  <c r="J745" i="1"/>
  <c r="H745" i="1"/>
  <c r="G745" i="1"/>
  <c r="F745" i="1"/>
  <c r="E745" i="1"/>
  <c r="D745" i="1"/>
  <c r="C748" i="1"/>
  <c r="C746" i="1"/>
  <c r="J739" i="1"/>
  <c r="J731" i="1" s="1"/>
  <c r="K739" i="1"/>
  <c r="K731" i="1" s="1"/>
  <c r="L739" i="1"/>
  <c r="M739" i="1"/>
  <c r="M731" i="1" s="1"/>
  <c r="N739" i="1"/>
  <c r="N731" i="1" s="1"/>
  <c r="O739" i="1"/>
  <c r="O731" i="1" s="1"/>
  <c r="H739" i="1"/>
  <c r="G739" i="1"/>
  <c r="F739" i="1"/>
  <c r="F731" i="1" s="1"/>
  <c r="E739" i="1"/>
  <c r="D739" i="1"/>
  <c r="C742" i="1"/>
  <c r="C744" i="1"/>
  <c r="C743" i="1"/>
  <c r="C741" i="1"/>
  <c r="C740" i="1"/>
  <c r="L732" i="1"/>
  <c r="I732" i="1"/>
  <c r="I731" i="1" s="1"/>
  <c r="H732" i="1"/>
  <c r="H731" i="1" s="1"/>
  <c r="D732" i="1"/>
  <c r="O711" i="1"/>
  <c r="N711" i="1"/>
  <c r="L711" i="1"/>
  <c r="J711" i="1"/>
  <c r="I711" i="1"/>
  <c r="H711" i="1"/>
  <c r="G711" i="1"/>
  <c r="F711" i="1"/>
  <c r="E711" i="1"/>
  <c r="D711" i="1"/>
  <c r="C714" i="1"/>
  <c r="C715" i="1"/>
  <c r="C712" i="1"/>
  <c r="C713" i="1"/>
  <c r="C716" i="1"/>
  <c r="L657" i="1"/>
  <c r="K657" i="1"/>
  <c r="I657" i="1"/>
  <c r="G657" i="1"/>
  <c r="F657" i="1"/>
  <c r="D657" i="1"/>
  <c r="C661" i="1"/>
  <c r="C660" i="1"/>
  <c r="C659" i="1"/>
  <c r="O646" i="1"/>
  <c r="N646" i="1"/>
  <c r="K646" i="1"/>
  <c r="I646" i="1"/>
  <c r="H646" i="1"/>
  <c r="G646" i="1"/>
  <c r="F646" i="1"/>
  <c r="E646" i="1"/>
  <c r="D646" i="1"/>
  <c r="C653" i="1"/>
  <c r="O640" i="1"/>
  <c r="N640" i="1"/>
  <c r="M640" i="1"/>
  <c r="L640" i="1"/>
  <c r="K640" i="1"/>
  <c r="I640" i="1"/>
  <c r="G640" i="1"/>
  <c r="H640" i="1"/>
  <c r="F640" i="1"/>
  <c r="D640" i="1"/>
  <c r="C643" i="1"/>
  <c r="C645" i="1"/>
  <c r="C641" i="1"/>
  <c r="C644" i="1"/>
  <c r="C642" i="1"/>
  <c r="C624" i="1"/>
  <c r="C622" i="1"/>
  <c r="C625" i="1"/>
  <c r="N615" i="1"/>
  <c r="M615" i="1"/>
  <c r="L615" i="1"/>
  <c r="K615" i="1"/>
  <c r="I615" i="1"/>
  <c r="H615" i="1"/>
  <c r="G615" i="1"/>
  <c r="F615" i="1"/>
  <c r="E615" i="1"/>
  <c r="D615" i="1"/>
  <c r="C618" i="1"/>
  <c r="C617" i="1"/>
  <c r="C616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6" i="1"/>
  <c r="C605" i="1"/>
  <c r="C603" i="1"/>
  <c r="O568" i="1"/>
  <c r="N568" i="1"/>
  <c r="M568" i="1"/>
  <c r="L568" i="1"/>
  <c r="K568" i="1"/>
  <c r="J568" i="1"/>
  <c r="H568" i="1"/>
  <c r="G568" i="1"/>
  <c r="F568" i="1"/>
  <c r="E568" i="1"/>
  <c r="D568" i="1"/>
  <c r="C570" i="1"/>
  <c r="C571" i="1"/>
  <c r="C569" i="1"/>
  <c r="K554" i="1"/>
  <c r="L554" i="1"/>
  <c r="M554" i="1"/>
  <c r="N554" i="1"/>
  <c r="I554" i="1"/>
  <c r="H554" i="1"/>
  <c r="G554" i="1"/>
  <c r="F554" i="1"/>
  <c r="E554" i="1"/>
  <c r="D554" i="1"/>
  <c r="C562" i="1"/>
  <c r="C557" i="1"/>
  <c r="C556" i="1"/>
  <c r="C555" i="1"/>
  <c r="O545" i="1"/>
  <c r="M545" i="1"/>
  <c r="L545" i="1"/>
  <c r="K545" i="1"/>
  <c r="I545" i="1"/>
  <c r="H545" i="1"/>
  <c r="G545" i="1"/>
  <c r="F545" i="1"/>
  <c r="E545" i="1"/>
  <c r="D545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2" i="1"/>
  <c r="C543" i="1"/>
  <c r="C544" i="1"/>
  <c r="C541" i="1"/>
  <c r="L534" i="1"/>
  <c r="K534" i="1"/>
  <c r="I534" i="1"/>
  <c r="G534" i="1"/>
  <c r="F534" i="1"/>
  <c r="D534" i="1"/>
  <c r="C537" i="1"/>
  <c r="C539" i="1"/>
  <c r="C538" i="1"/>
  <c r="O526" i="1"/>
  <c r="N526" i="1"/>
  <c r="M526" i="1"/>
  <c r="L526" i="1"/>
  <c r="K526" i="1"/>
  <c r="I526" i="1"/>
  <c r="G526" i="1"/>
  <c r="E526" i="1"/>
  <c r="C532" i="1"/>
  <c r="C531" i="1"/>
  <c r="C528" i="1"/>
  <c r="O522" i="1"/>
  <c r="N522" i="1"/>
  <c r="M522" i="1"/>
  <c r="L522" i="1"/>
  <c r="K522" i="1"/>
  <c r="I522" i="1"/>
  <c r="H522" i="1"/>
  <c r="G522" i="1"/>
  <c r="F522" i="1"/>
  <c r="E522" i="1"/>
  <c r="D522" i="1"/>
  <c r="C525" i="1"/>
  <c r="C524" i="1"/>
  <c r="C523" i="1"/>
  <c r="J509" i="1"/>
  <c r="K504" i="1"/>
  <c r="J504" i="1"/>
  <c r="E504" i="1"/>
  <c r="C508" i="1"/>
  <c r="C507" i="1"/>
  <c r="N497" i="1"/>
  <c r="J497" i="1"/>
  <c r="G497" i="1"/>
  <c r="F497" i="1"/>
  <c r="E497" i="1"/>
  <c r="C503" i="1"/>
  <c r="L731" i="1" l="1"/>
  <c r="D731" i="1"/>
  <c r="E731" i="1"/>
  <c r="G731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8" i="1"/>
  <c r="C471" i="1"/>
  <c r="C470" i="1"/>
  <c r="C469" i="1"/>
  <c r="C467" i="1"/>
  <c r="C466" i="1"/>
  <c r="C465" i="1"/>
  <c r="C464" i="1"/>
  <c r="C463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9" i="1"/>
  <c r="C461" i="1"/>
  <c r="C460" i="1"/>
  <c r="C458" i="1"/>
  <c r="C457" i="1"/>
  <c r="C456" i="1"/>
  <c r="O449" i="1"/>
  <c r="N449" i="1"/>
  <c r="M449" i="1"/>
  <c r="L449" i="1"/>
  <c r="K449" i="1"/>
  <c r="I449" i="1"/>
  <c r="H449" i="1"/>
  <c r="G449" i="1"/>
  <c r="F449" i="1"/>
  <c r="E449" i="1"/>
  <c r="D449" i="1"/>
  <c r="C452" i="1"/>
  <c r="C454" i="1"/>
  <c r="C453" i="1"/>
  <c r="C451" i="1"/>
  <c r="O444" i="1"/>
  <c r="N444" i="1"/>
  <c r="M444" i="1"/>
  <c r="H444" i="1"/>
  <c r="I444" i="1"/>
  <c r="K444" i="1"/>
  <c r="L444" i="1"/>
  <c r="G444" i="1"/>
  <c r="F444" i="1"/>
  <c r="E444" i="1"/>
  <c r="D444" i="1"/>
  <c r="C446" i="1"/>
  <c r="C448" i="1"/>
  <c r="C447" i="1"/>
  <c r="C445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4" i="1"/>
  <c r="C436" i="1"/>
  <c r="C435" i="1"/>
  <c r="N428" i="1"/>
  <c r="J428" i="1"/>
  <c r="O77" i="1"/>
  <c r="N77" i="1"/>
  <c r="J77" i="1"/>
  <c r="J63" i="1" s="1"/>
  <c r="I77" i="1"/>
  <c r="F77" i="1"/>
  <c r="C78" i="1"/>
  <c r="D69" i="1"/>
  <c r="N420" i="1"/>
  <c r="O420" i="1"/>
  <c r="M420" i="1"/>
  <c r="L420" i="1"/>
  <c r="K420" i="1"/>
  <c r="J420" i="1"/>
  <c r="I420" i="1"/>
  <c r="H420" i="1"/>
  <c r="G420" i="1"/>
  <c r="F420" i="1"/>
  <c r="E420" i="1"/>
  <c r="D420" i="1"/>
  <c r="C426" i="1"/>
  <c r="C424" i="1"/>
  <c r="C423" i="1"/>
  <c r="C421" i="1"/>
  <c r="O414" i="1"/>
  <c r="N414" i="1"/>
  <c r="M414" i="1"/>
  <c r="L414" i="1"/>
  <c r="K414" i="1"/>
  <c r="I414" i="1"/>
  <c r="H414" i="1"/>
  <c r="G414" i="1"/>
  <c r="F414" i="1"/>
  <c r="E414" i="1"/>
  <c r="D414" i="1"/>
  <c r="C419" i="1"/>
  <c r="C418" i="1"/>
  <c r="C417" i="1"/>
  <c r="C416" i="1"/>
  <c r="C415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5" i="1"/>
  <c r="C402" i="1"/>
  <c r="C401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76" i="1"/>
  <c r="C373" i="1"/>
  <c r="C372" i="1"/>
  <c r="C371" i="1"/>
  <c r="C370" i="1"/>
  <c r="C369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6" i="1"/>
  <c r="C364" i="1"/>
  <c r="C367" i="1"/>
  <c r="C365" i="1"/>
  <c r="C363" i="1"/>
  <c r="C362" i="1"/>
  <c r="C36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9" i="1"/>
  <c r="C357" i="1"/>
  <c r="C355" i="1"/>
  <c r="C354" i="1"/>
  <c r="C353" i="1"/>
  <c r="C352" i="1"/>
  <c r="O347" i="1"/>
  <c r="N347" i="1"/>
  <c r="M347" i="1"/>
  <c r="L347" i="1"/>
  <c r="K347" i="1"/>
  <c r="I347" i="1"/>
  <c r="H347" i="1"/>
  <c r="G347" i="1"/>
  <c r="F347" i="1"/>
  <c r="E347" i="1"/>
  <c r="D347" i="1"/>
  <c r="C350" i="1"/>
  <c r="C349" i="1"/>
  <c r="C348" i="1"/>
  <c r="O64" i="1"/>
  <c r="O63" i="1" s="1"/>
  <c r="N64" i="1"/>
  <c r="M64" i="1"/>
  <c r="M63" i="1" s="1"/>
  <c r="L64" i="1"/>
  <c r="L63" i="1" s="1"/>
  <c r="K64" i="1"/>
  <c r="K63" i="1" s="1"/>
  <c r="I64" i="1"/>
  <c r="H64" i="1"/>
  <c r="H63" i="1" s="1"/>
  <c r="G64" i="1"/>
  <c r="G63" i="1" s="1"/>
  <c r="F64" i="1"/>
  <c r="F63" i="1" s="1"/>
  <c r="E64" i="1"/>
  <c r="E63" i="1" s="1"/>
  <c r="D64" i="1"/>
  <c r="D63" i="1" s="1"/>
  <c r="C68" i="1"/>
  <c r="C67" i="1"/>
  <c r="C66" i="1"/>
  <c r="C65" i="1"/>
  <c r="N323" i="1"/>
  <c r="F323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O310" i="1"/>
  <c r="N310" i="1"/>
  <c r="M310" i="1"/>
  <c r="L310" i="1"/>
  <c r="K310" i="1"/>
  <c r="I310" i="1"/>
  <c r="H310" i="1"/>
  <c r="G310" i="1"/>
  <c r="F310" i="1"/>
  <c r="E310" i="1"/>
  <c r="D310" i="1"/>
  <c r="C315" i="1"/>
  <c r="C314" i="1"/>
  <c r="C313" i="1"/>
  <c r="C312" i="1"/>
  <c r="C311" i="1"/>
  <c r="N296" i="1"/>
  <c r="O296" i="1"/>
  <c r="M296" i="1"/>
  <c r="L296" i="1"/>
  <c r="K296" i="1"/>
  <c r="J296" i="1"/>
  <c r="I296" i="1"/>
  <c r="H296" i="1"/>
  <c r="G296" i="1"/>
  <c r="F296" i="1"/>
  <c r="E296" i="1"/>
  <c r="D296" i="1"/>
  <c r="C299" i="1"/>
  <c r="C297" i="1"/>
  <c r="O221" i="1"/>
  <c r="N221" i="1"/>
  <c r="M221" i="1"/>
  <c r="L221" i="1"/>
  <c r="K221" i="1"/>
  <c r="I221" i="1"/>
  <c r="H221" i="1"/>
  <c r="G221" i="1"/>
  <c r="F221" i="1"/>
  <c r="E221" i="1"/>
  <c r="D221" i="1"/>
  <c r="C228" i="1"/>
  <c r="C226" i="1"/>
  <c r="C224" i="1"/>
  <c r="C227" i="1"/>
  <c r="C225" i="1"/>
  <c r="C223" i="1"/>
  <c r="C222" i="1"/>
  <c r="O154" i="1"/>
  <c r="N154" i="1"/>
  <c r="M154" i="1"/>
  <c r="L154" i="1"/>
  <c r="K154" i="1"/>
  <c r="I154" i="1"/>
  <c r="H154" i="1"/>
  <c r="F104" i="1"/>
  <c r="E104" i="1"/>
  <c r="D104" i="1"/>
  <c r="D27" i="1"/>
  <c r="O10" i="1"/>
  <c r="N10" i="1"/>
  <c r="M10" i="1"/>
  <c r="L10" i="1"/>
  <c r="K10" i="1"/>
  <c r="J10" i="1"/>
  <c r="I10" i="1"/>
  <c r="H10" i="1"/>
  <c r="D10" i="1"/>
  <c r="G10" i="1"/>
  <c r="F10" i="1"/>
  <c r="E10" i="1"/>
  <c r="O169" i="1"/>
  <c r="N169" i="1"/>
  <c r="M169" i="1"/>
  <c r="L169" i="1"/>
  <c r="K169" i="1"/>
  <c r="J169" i="1"/>
  <c r="J153" i="1" s="1"/>
  <c r="I169" i="1"/>
  <c r="H169" i="1"/>
  <c r="F169" i="1"/>
  <c r="F153" i="1" s="1"/>
  <c r="E169" i="1"/>
  <c r="E153" i="1" s="1"/>
  <c r="L153" i="1" l="1"/>
  <c r="N153" i="1"/>
  <c r="I153" i="1"/>
  <c r="H153" i="1"/>
  <c r="K153" i="1"/>
  <c r="M153" i="1"/>
  <c r="O153" i="1"/>
  <c r="I63" i="1"/>
  <c r="N63" i="1"/>
  <c r="P41" i="7" l="1"/>
  <c r="P33" i="7"/>
  <c r="P61" i="7" l="1"/>
  <c r="P53" i="7"/>
  <c r="P52" i="7"/>
  <c r="P57" i="7" l="1"/>
  <c r="P55" i="7"/>
  <c r="P51" i="7"/>
  <c r="P49" i="7"/>
  <c r="P47" i="7"/>
  <c r="P45" i="7"/>
  <c r="P43" i="7"/>
  <c r="P39" i="7"/>
  <c r="P37" i="7"/>
  <c r="P35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  <c r="E186" i="1" l="1"/>
  <c r="F186" i="1"/>
  <c r="G186" i="1"/>
  <c r="H186" i="1"/>
  <c r="I186" i="1"/>
  <c r="J186" i="1"/>
  <c r="K186" i="1"/>
  <c r="L186" i="1"/>
  <c r="M186" i="1"/>
  <c r="N186" i="1"/>
  <c r="O186" i="1"/>
  <c r="N6" i="7" l="1"/>
  <c r="O6" i="7" s="1"/>
  <c r="P6" i="7" s="1"/>
  <c r="N8" i="7"/>
  <c r="O8" i="7" s="1"/>
  <c r="P8" i="7" s="1"/>
  <c r="N10" i="7"/>
  <c r="O10" i="7" s="1"/>
  <c r="P10" i="7" s="1"/>
  <c r="N12" i="7"/>
  <c r="O12" i="7" s="1"/>
  <c r="P12" i="7" s="1"/>
  <c r="N14" i="7"/>
  <c r="O14" i="7" s="1"/>
  <c r="P14" i="7" s="1"/>
  <c r="N16" i="7"/>
  <c r="O16" i="7" s="1"/>
  <c r="P16" i="7" s="1"/>
  <c r="N18" i="7"/>
  <c r="O18" i="7" s="1"/>
  <c r="P18" i="7" s="1"/>
  <c r="N20" i="7"/>
  <c r="O20" i="7" s="1"/>
  <c r="P20" i="7" s="1"/>
  <c r="N22" i="7"/>
  <c r="O22" i="7" s="1"/>
  <c r="P22" i="7" s="1"/>
  <c r="O24" i="7"/>
  <c r="P24" i="7" s="1"/>
  <c r="N26" i="7"/>
  <c r="O26" i="7" s="1"/>
  <c r="P26" i="7" s="1"/>
  <c r="N28" i="7"/>
  <c r="O28" i="7" s="1"/>
  <c r="P28" i="7" s="1"/>
  <c r="N30" i="7"/>
  <c r="O30" i="7" s="1"/>
  <c r="P30" i="7" s="1"/>
  <c r="N32" i="7"/>
  <c r="O32" i="7" s="1"/>
  <c r="P32" i="7" s="1"/>
  <c r="N34" i="7"/>
  <c r="O34" i="7" s="1"/>
  <c r="P34" i="7" s="1"/>
  <c r="O36" i="7"/>
  <c r="P36" i="7" s="1"/>
  <c r="N38" i="7"/>
  <c r="O38" i="7" s="1"/>
  <c r="P38" i="7" s="1"/>
  <c r="N40" i="7"/>
  <c r="O40" i="7" s="1"/>
  <c r="P40" i="7" s="1"/>
  <c r="N42" i="7"/>
  <c r="O42" i="7" s="1"/>
  <c r="P42" i="7" s="1"/>
  <c r="N44" i="7"/>
  <c r="O44" i="7" s="1"/>
  <c r="P44" i="7" s="1"/>
  <c r="N46" i="7"/>
  <c r="O46" i="7" s="1"/>
  <c r="P46" i="7" s="1"/>
  <c r="N48" i="7"/>
  <c r="O48" i="7" s="1"/>
  <c r="P48" i="7" s="1"/>
  <c r="N50" i="7"/>
  <c r="O50" i="7" s="1"/>
  <c r="P50" i="7" s="1"/>
  <c r="N54" i="7"/>
  <c r="O54" i="7" s="1"/>
  <c r="P54" i="7" s="1"/>
  <c r="N56" i="7"/>
  <c r="O56" i="7" s="1"/>
  <c r="P56" i="7" s="1"/>
  <c r="O59" i="7"/>
  <c r="P59" i="7" s="1"/>
  <c r="P60" i="7"/>
  <c r="D597" i="1" l="1"/>
  <c r="D125" i="1"/>
  <c r="E933" i="1" l="1"/>
  <c r="F933" i="1"/>
  <c r="G933" i="1"/>
  <c r="H933" i="1"/>
  <c r="I933" i="1"/>
  <c r="J933" i="1"/>
  <c r="K933" i="1"/>
  <c r="L933" i="1"/>
  <c r="M933" i="1"/>
  <c r="N933" i="1"/>
  <c r="O933" i="1"/>
  <c r="D933" i="1"/>
  <c r="E876" i="1"/>
  <c r="F876" i="1"/>
  <c r="G876" i="1"/>
  <c r="H876" i="1"/>
  <c r="I876" i="1"/>
  <c r="J876" i="1"/>
  <c r="K876" i="1"/>
  <c r="L876" i="1"/>
  <c r="M876" i="1"/>
  <c r="N876" i="1"/>
  <c r="O876" i="1"/>
  <c r="D876" i="1"/>
  <c r="E859" i="1"/>
  <c r="F859" i="1"/>
  <c r="G859" i="1"/>
  <c r="H859" i="1"/>
  <c r="I859" i="1"/>
  <c r="J859" i="1"/>
  <c r="K859" i="1"/>
  <c r="L859" i="1"/>
  <c r="M859" i="1"/>
  <c r="N859" i="1"/>
  <c r="O859" i="1"/>
  <c r="D859" i="1"/>
  <c r="E849" i="1"/>
  <c r="F849" i="1"/>
  <c r="G849" i="1"/>
  <c r="H849" i="1"/>
  <c r="I849" i="1"/>
  <c r="J849" i="1"/>
  <c r="K849" i="1"/>
  <c r="L849" i="1"/>
  <c r="M849" i="1"/>
  <c r="N849" i="1"/>
  <c r="O849" i="1"/>
  <c r="D849" i="1"/>
  <c r="E816" i="1"/>
  <c r="F816" i="1"/>
  <c r="G816" i="1"/>
  <c r="H816" i="1"/>
  <c r="I816" i="1"/>
  <c r="J816" i="1"/>
  <c r="K816" i="1"/>
  <c r="L816" i="1"/>
  <c r="M816" i="1"/>
  <c r="N816" i="1"/>
  <c r="O816" i="1"/>
  <c r="D816" i="1"/>
  <c r="E784" i="1"/>
  <c r="F784" i="1"/>
  <c r="G784" i="1"/>
  <c r="H784" i="1"/>
  <c r="I784" i="1"/>
  <c r="J784" i="1"/>
  <c r="K784" i="1"/>
  <c r="L784" i="1"/>
  <c r="M784" i="1"/>
  <c r="N784" i="1"/>
  <c r="O784" i="1"/>
  <c r="D784" i="1"/>
  <c r="E771" i="1"/>
  <c r="F771" i="1"/>
  <c r="G771" i="1"/>
  <c r="H771" i="1"/>
  <c r="I771" i="1"/>
  <c r="J771" i="1"/>
  <c r="J852" i="1" s="1"/>
  <c r="K771" i="1"/>
  <c r="L771" i="1"/>
  <c r="M771" i="1"/>
  <c r="N771" i="1"/>
  <c r="O771" i="1"/>
  <c r="D771" i="1"/>
  <c r="E760" i="1"/>
  <c r="F760" i="1"/>
  <c r="G760" i="1"/>
  <c r="H760" i="1"/>
  <c r="I760" i="1"/>
  <c r="J760" i="1"/>
  <c r="K760" i="1"/>
  <c r="L760" i="1"/>
  <c r="M760" i="1"/>
  <c r="N760" i="1"/>
  <c r="O760" i="1"/>
  <c r="D760" i="1"/>
  <c r="E708" i="1"/>
  <c r="F708" i="1"/>
  <c r="G708" i="1"/>
  <c r="H708" i="1"/>
  <c r="I708" i="1"/>
  <c r="J708" i="1"/>
  <c r="K708" i="1"/>
  <c r="L708" i="1"/>
  <c r="M708" i="1"/>
  <c r="N708" i="1"/>
  <c r="O708" i="1"/>
  <c r="D708" i="1"/>
  <c r="E687" i="1"/>
  <c r="F687" i="1"/>
  <c r="G687" i="1"/>
  <c r="H687" i="1"/>
  <c r="I687" i="1"/>
  <c r="J687" i="1"/>
  <c r="J764" i="1" s="1"/>
  <c r="K687" i="1"/>
  <c r="L687" i="1"/>
  <c r="M687" i="1"/>
  <c r="N687" i="1"/>
  <c r="O687" i="1"/>
  <c r="D687" i="1"/>
  <c r="E670" i="1"/>
  <c r="F670" i="1"/>
  <c r="G670" i="1"/>
  <c r="H670" i="1"/>
  <c r="I670" i="1"/>
  <c r="J670" i="1"/>
  <c r="K670" i="1"/>
  <c r="L670" i="1"/>
  <c r="M670" i="1"/>
  <c r="N670" i="1"/>
  <c r="O670" i="1"/>
  <c r="D670" i="1"/>
  <c r="E639" i="1"/>
  <c r="F639" i="1"/>
  <c r="G639" i="1"/>
  <c r="H639" i="1"/>
  <c r="I639" i="1"/>
  <c r="J639" i="1"/>
  <c r="K639" i="1"/>
  <c r="L639" i="1"/>
  <c r="M639" i="1"/>
  <c r="N639" i="1"/>
  <c r="O639" i="1"/>
  <c r="D639" i="1"/>
  <c r="E614" i="1"/>
  <c r="F614" i="1"/>
  <c r="G614" i="1"/>
  <c r="H614" i="1"/>
  <c r="I614" i="1"/>
  <c r="J614" i="1"/>
  <c r="K614" i="1"/>
  <c r="L614" i="1"/>
  <c r="M614" i="1"/>
  <c r="N614" i="1"/>
  <c r="O614" i="1"/>
  <c r="D614" i="1"/>
  <c r="E597" i="1"/>
  <c r="F597" i="1"/>
  <c r="G597" i="1"/>
  <c r="H597" i="1"/>
  <c r="I597" i="1"/>
  <c r="J597" i="1"/>
  <c r="J680" i="1" s="1"/>
  <c r="K597" i="1"/>
  <c r="L597" i="1"/>
  <c r="M597" i="1"/>
  <c r="N597" i="1"/>
  <c r="O597" i="1"/>
  <c r="I937" i="1" l="1"/>
  <c r="I852" i="1"/>
  <c r="K852" i="1"/>
  <c r="K764" i="1"/>
  <c r="I764" i="1"/>
  <c r="I680" i="1"/>
  <c r="K680" i="1"/>
  <c r="K937" i="1"/>
  <c r="J937" i="1"/>
  <c r="O937" i="1"/>
  <c r="G937" i="1"/>
  <c r="N937" i="1"/>
  <c r="F937" i="1"/>
  <c r="L680" i="1"/>
  <c r="D680" i="1"/>
  <c r="L764" i="1"/>
  <c r="L937" i="1"/>
  <c r="H680" i="1"/>
  <c r="H937" i="1"/>
  <c r="D764" i="1"/>
  <c r="D852" i="1"/>
  <c r="D937" i="1"/>
  <c r="H764" i="1"/>
  <c r="H852" i="1"/>
  <c r="M937" i="1"/>
  <c r="E937" i="1"/>
  <c r="O680" i="1"/>
  <c r="G680" i="1"/>
  <c r="O764" i="1"/>
  <c r="G764" i="1"/>
  <c r="O852" i="1"/>
  <c r="G852" i="1"/>
  <c r="N680" i="1"/>
  <c r="F680" i="1"/>
  <c r="N764" i="1"/>
  <c r="F764" i="1"/>
  <c r="N852" i="1"/>
  <c r="F852" i="1"/>
  <c r="M680" i="1"/>
  <c r="E680" i="1"/>
  <c r="M764" i="1"/>
  <c r="E764" i="1"/>
  <c r="M852" i="1"/>
  <c r="E852" i="1"/>
  <c r="L852" i="1"/>
  <c r="E551" i="1"/>
  <c r="F551" i="1"/>
  <c r="G551" i="1"/>
  <c r="H551" i="1"/>
  <c r="I551" i="1"/>
  <c r="J551" i="1"/>
  <c r="K551" i="1"/>
  <c r="L551" i="1"/>
  <c r="M551" i="1"/>
  <c r="N551" i="1"/>
  <c r="O551" i="1"/>
  <c r="D551" i="1"/>
  <c r="E521" i="1"/>
  <c r="F521" i="1"/>
  <c r="G521" i="1"/>
  <c r="H521" i="1"/>
  <c r="I521" i="1"/>
  <c r="J521" i="1"/>
  <c r="K521" i="1"/>
  <c r="L521" i="1"/>
  <c r="M521" i="1"/>
  <c r="N521" i="1"/>
  <c r="O521" i="1"/>
  <c r="D521" i="1"/>
  <c r="E496" i="1"/>
  <c r="F496" i="1"/>
  <c r="F590" i="1" s="1"/>
  <c r="G496" i="1"/>
  <c r="H496" i="1"/>
  <c r="I496" i="1"/>
  <c r="J496" i="1"/>
  <c r="K496" i="1"/>
  <c r="L496" i="1"/>
  <c r="M496" i="1"/>
  <c r="N496" i="1"/>
  <c r="N590" i="1" s="1"/>
  <c r="O496" i="1"/>
  <c r="D496" i="1"/>
  <c r="E478" i="1"/>
  <c r="F478" i="1"/>
  <c r="G478" i="1"/>
  <c r="H478" i="1"/>
  <c r="I478" i="1"/>
  <c r="J478" i="1"/>
  <c r="K478" i="1"/>
  <c r="L478" i="1"/>
  <c r="M478" i="1"/>
  <c r="N478" i="1"/>
  <c r="O478" i="1"/>
  <c r="D478" i="1"/>
  <c r="E443" i="1"/>
  <c r="F443" i="1"/>
  <c r="G443" i="1"/>
  <c r="H443" i="1"/>
  <c r="I443" i="1"/>
  <c r="J443" i="1"/>
  <c r="K443" i="1"/>
  <c r="L443" i="1"/>
  <c r="M443" i="1"/>
  <c r="N443" i="1"/>
  <c r="O443" i="1"/>
  <c r="D443" i="1"/>
  <c r="E413" i="1"/>
  <c r="F413" i="1"/>
  <c r="G413" i="1"/>
  <c r="H413" i="1"/>
  <c r="I413" i="1"/>
  <c r="J413" i="1"/>
  <c r="K413" i="1"/>
  <c r="L413" i="1"/>
  <c r="M413" i="1"/>
  <c r="N413" i="1"/>
  <c r="O413" i="1"/>
  <c r="D413" i="1"/>
  <c r="E393" i="1"/>
  <c r="F393" i="1"/>
  <c r="G393" i="1"/>
  <c r="H393" i="1"/>
  <c r="I393" i="1"/>
  <c r="J393" i="1"/>
  <c r="K393" i="1"/>
  <c r="L393" i="1"/>
  <c r="M393" i="1"/>
  <c r="N393" i="1"/>
  <c r="O393" i="1"/>
  <c r="D393" i="1"/>
  <c r="E346" i="1"/>
  <c r="F346" i="1"/>
  <c r="G346" i="1"/>
  <c r="H346" i="1"/>
  <c r="I346" i="1"/>
  <c r="J346" i="1"/>
  <c r="K346" i="1"/>
  <c r="L346" i="1"/>
  <c r="M346" i="1"/>
  <c r="N346" i="1"/>
  <c r="O346" i="1"/>
  <c r="D346" i="1"/>
  <c r="E309" i="1"/>
  <c r="F309" i="1"/>
  <c r="G309" i="1"/>
  <c r="H309" i="1"/>
  <c r="I309" i="1"/>
  <c r="J309" i="1"/>
  <c r="K309" i="1"/>
  <c r="L309" i="1"/>
  <c r="M309" i="1"/>
  <c r="N309" i="1"/>
  <c r="O309" i="1"/>
  <c r="E292" i="1"/>
  <c r="F292" i="1"/>
  <c r="G292" i="1"/>
  <c r="H292" i="1"/>
  <c r="I292" i="1"/>
  <c r="J292" i="1"/>
  <c r="K292" i="1"/>
  <c r="L292" i="1"/>
  <c r="M292" i="1"/>
  <c r="N292" i="1"/>
  <c r="O292" i="1"/>
  <c r="D309" i="1"/>
  <c r="D292" i="1"/>
  <c r="G590" i="1" l="1"/>
  <c r="O590" i="1"/>
  <c r="N489" i="1"/>
  <c r="F489" i="1"/>
  <c r="O489" i="1"/>
  <c r="G489" i="1"/>
  <c r="D489" i="1"/>
  <c r="H489" i="1"/>
  <c r="D590" i="1"/>
  <c r="H590" i="1"/>
  <c r="K489" i="1"/>
  <c r="K590" i="1"/>
  <c r="I489" i="1"/>
  <c r="I590" i="1"/>
  <c r="M489" i="1"/>
  <c r="E489" i="1"/>
  <c r="M590" i="1"/>
  <c r="E590" i="1"/>
  <c r="L489" i="1"/>
  <c r="L590" i="1"/>
  <c r="J489" i="1"/>
  <c r="J590" i="1"/>
  <c r="N386" i="1"/>
  <c r="L386" i="1"/>
  <c r="J386" i="1"/>
  <c r="H386" i="1"/>
  <c r="F386" i="1"/>
  <c r="D386" i="1"/>
  <c r="O386" i="1"/>
  <c r="M386" i="1"/>
  <c r="K386" i="1"/>
  <c r="I386" i="1"/>
  <c r="G386" i="1"/>
  <c r="E386" i="1"/>
  <c r="E276" i="1"/>
  <c r="F276" i="1"/>
  <c r="G276" i="1"/>
  <c r="H276" i="1"/>
  <c r="I276" i="1"/>
  <c r="J276" i="1"/>
  <c r="K276" i="1"/>
  <c r="L276" i="1"/>
  <c r="M276" i="1"/>
  <c r="N276" i="1"/>
  <c r="O276" i="1"/>
  <c r="D276" i="1"/>
  <c r="E252" i="1"/>
  <c r="F252" i="1"/>
  <c r="G252" i="1"/>
  <c r="H252" i="1"/>
  <c r="I252" i="1"/>
  <c r="J252" i="1"/>
  <c r="K252" i="1"/>
  <c r="L252" i="1"/>
  <c r="M252" i="1"/>
  <c r="N252" i="1"/>
  <c r="O252" i="1"/>
  <c r="D252" i="1"/>
  <c r="E220" i="1"/>
  <c r="F220" i="1"/>
  <c r="G220" i="1"/>
  <c r="H220" i="1"/>
  <c r="I220" i="1"/>
  <c r="J220" i="1"/>
  <c r="K220" i="1"/>
  <c r="L220" i="1"/>
  <c r="M220" i="1"/>
  <c r="N220" i="1"/>
  <c r="O220" i="1"/>
  <c r="D220" i="1"/>
  <c r="E196" i="1"/>
  <c r="F196" i="1"/>
  <c r="G196" i="1"/>
  <c r="H196" i="1"/>
  <c r="I196" i="1"/>
  <c r="J196" i="1"/>
  <c r="K196" i="1"/>
  <c r="L196" i="1"/>
  <c r="M196" i="1"/>
  <c r="N196" i="1"/>
  <c r="O196" i="1"/>
  <c r="D196" i="1"/>
  <c r="D186" i="1"/>
  <c r="E125" i="1"/>
  <c r="F125" i="1"/>
  <c r="G125" i="1"/>
  <c r="H125" i="1"/>
  <c r="I125" i="1"/>
  <c r="J125" i="1"/>
  <c r="K125" i="1"/>
  <c r="L125" i="1"/>
  <c r="M125" i="1"/>
  <c r="N125" i="1"/>
  <c r="O125" i="1"/>
  <c r="G104" i="1"/>
  <c r="H104" i="1"/>
  <c r="I104" i="1"/>
  <c r="J104" i="1"/>
  <c r="K104" i="1"/>
  <c r="L104" i="1"/>
  <c r="L941" i="1" s="1"/>
  <c r="L948" i="1" s="1"/>
  <c r="M104" i="1"/>
  <c r="N104" i="1"/>
  <c r="O104" i="1"/>
  <c r="D94" i="1"/>
  <c r="E27" i="1"/>
  <c r="F27" i="1"/>
  <c r="G27" i="1"/>
  <c r="H27" i="1"/>
  <c r="I27" i="1"/>
  <c r="J27" i="1"/>
  <c r="K27" i="1"/>
  <c r="L27" i="1"/>
  <c r="M27" i="1"/>
  <c r="N27" i="1"/>
  <c r="O27" i="1"/>
  <c r="D942" i="1"/>
  <c r="D949" i="1" s="1"/>
  <c r="M944" i="1" l="1"/>
  <c r="E944" i="1"/>
  <c r="H944" i="1"/>
  <c r="I941" i="1"/>
  <c r="I948" i="1" s="1"/>
  <c r="O944" i="1"/>
  <c r="G944" i="1"/>
  <c r="K941" i="1"/>
  <c r="K948" i="1" s="1"/>
  <c r="F941" i="1"/>
  <c r="F948" i="1" s="1"/>
  <c r="J944" i="1"/>
  <c r="N941" i="1"/>
  <c r="N948" i="1" s="1"/>
  <c r="H941" i="1"/>
  <c r="H948" i="1" s="1"/>
  <c r="L944" i="1"/>
  <c r="L285" i="1"/>
  <c r="D941" i="1"/>
  <c r="D948" i="1" s="1"/>
  <c r="J285" i="1"/>
  <c r="I944" i="1"/>
  <c r="I285" i="1"/>
  <c r="O942" i="1"/>
  <c r="O949" i="1" s="1"/>
  <c r="M942" i="1"/>
  <c r="M949" i="1" s="1"/>
  <c r="G942" i="1"/>
  <c r="G949" i="1" s="1"/>
  <c r="E942" i="1"/>
  <c r="E949" i="1" s="1"/>
  <c r="K943" i="1"/>
  <c r="I943" i="1"/>
  <c r="L942" i="1"/>
  <c r="L949" i="1" s="1"/>
  <c r="L952" i="1" s="1"/>
  <c r="J942" i="1"/>
  <c r="J949" i="1" s="1"/>
  <c r="H942" i="1"/>
  <c r="H949" i="1" s="1"/>
  <c r="D943" i="1"/>
  <c r="D950" i="1" s="1"/>
  <c r="N943" i="1"/>
  <c r="L943" i="1"/>
  <c r="H943" i="1"/>
  <c r="F943" i="1"/>
  <c r="D944" i="1"/>
  <c r="D951" i="1" s="1"/>
  <c r="D189" i="1"/>
  <c r="H189" i="1"/>
  <c r="N97" i="1"/>
  <c r="M97" i="1"/>
  <c r="M941" i="1"/>
  <c r="M948" i="1" s="1"/>
  <c r="E97" i="1"/>
  <c r="E941" i="1"/>
  <c r="E948" i="1" s="1"/>
  <c r="E952" i="1" s="1"/>
  <c r="I942" i="1"/>
  <c r="I949" i="1" s="1"/>
  <c r="M943" i="1"/>
  <c r="E943" i="1"/>
  <c r="M189" i="1"/>
  <c r="E189" i="1"/>
  <c r="K97" i="1"/>
  <c r="I97" i="1"/>
  <c r="J941" i="1"/>
  <c r="J948" i="1" s="1"/>
  <c r="N942" i="1"/>
  <c r="N949" i="1" s="1"/>
  <c r="F942" i="1"/>
  <c r="F949" i="1" s="1"/>
  <c r="J943" i="1"/>
  <c r="N944" i="1"/>
  <c r="F944" i="1"/>
  <c r="N285" i="1"/>
  <c r="F285" i="1"/>
  <c r="I189" i="1"/>
  <c r="J97" i="1"/>
  <c r="F97" i="1"/>
  <c r="O941" i="1"/>
  <c r="O948" i="1" s="1"/>
  <c r="G941" i="1"/>
  <c r="G948" i="1" s="1"/>
  <c r="K942" i="1"/>
  <c r="K949" i="1" s="1"/>
  <c r="O943" i="1"/>
  <c r="G943" i="1"/>
  <c r="K944" i="1"/>
  <c r="K285" i="1"/>
  <c r="L97" i="1"/>
  <c r="D97" i="1"/>
  <c r="H97" i="1"/>
  <c r="O97" i="1"/>
  <c r="G97" i="1"/>
  <c r="N189" i="1"/>
  <c r="F189" i="1"/>
  <c r="O189" i="1"/>
  <c r="G189" i="1"/>
  <c r="L189" i="1"/>
  <c r="D285" i="1"/>
  <c r="H285" i="1"/>
  <c r="K189" i="1"/>
  <c r="O285" i="1"/>
  <c r="G285" i="1"/>
  <c r="J189" i="1"/>
  <c r="M285" i="1"/>
  <c r="E285" i="1"/>
  <c r="M952" i="1" l="1"/>
  <c r="N952" i="1"/>
  <c r="F952" i="1"/>
  <c r="O952" i="1"/>
  <c r="G952" i="1"/>
  <c r="J952" i="1"/>
  <c r="H952" i="1"/>
  <c r="K952" i="1"/>
  <c r="D952" i="1"/>
  <c r="I952" i="1"/>
  <c r="L945" i="1"/>
  <c r="I945" i="1"/>
  <c r="H945" i="1"/>
  <c r="D945" i="1"/>
  <c r="G945" i="1"/>
  <c r="J945" i="1"/>
  <c r="E945" i="1"/>
  <c r="K945" i="1"/>
  <c r="N945" i="1"/>
  <c r="F945" i="1"/>
  <c r="O945" i="1"/>
  <c r="M945" i="1"/>
</calcChain>
</file>

<file path=xl/sharedStrings.xml><?xml version="1.0" encoding="utf-8"?>
<sst xmlns="http://schemas.openxmlformats.org/spreadsheetml/2006/main" count="1198" uniqueCount="380">
  <si>
    <t xml:space="preserve">Приём пищи, наименование блюда </t>
  </si>
  <si>
    <t>Масса порций, г</t>
  </si>
  <si>
    <t>Белки</t>
  </si>
  <si>
    <t>Жиры</t>
  </si>
  <si>
    <t>Углеводы</t>
  </si>
  <si>
    <t>Е</t>
  </si>
  <si>
    <t>Mg</t>
  </si>
  <si>
    <t>Витамины, мг</t>
  </si>
  <si>
    <t>Минеральные вещества, мг</t>
  </si>
  <si>
    <t>Пищевые вещества, г</t>
  </si>
  <si>
    <t>Энергетическая ценность Ккал</t>
  </si>
  <si>
    <t>В1</t>
  </si>
  <si>
    <t>С</t>
  </si>
  <si>
    <t>А</t>
  </si>
  <si>
    <t>Са</t>
  </si>
  <si>
    <t>Р</t>
  </si>
  <si>
    <t>Fe</t>
  </si>
  <si>
    <t>№ рец.</t>
  </si>
  <si>
    <t>ПРИМЕРНОЕ ОСЕННЕ-ЗИМНЕЕ МЕНЮ МБОУ СОШ № 5 г. Бердска</t>
  </si>
  <si>
    <t>Школьники 7-10 лет</t>
  </si>
  <si>
    <t>День 1</t>
  </si>
  <si>
    <t>Каша из хлопьев овсяных "Геркулес" жидкая</t>
  </si>
  <si>
    <t>сахарный песок</t>
  </si>
  <si>
    <t>масло сливочное</t>
  </si>
  <si>
    <t>овсяные хлопья "геркулес"</t>
  </si>
  <si>
    <t>молоко</t>
  </si>
  <si>
    <t>Бутерброд с сыром</t>
  </si>
  <si>
    <t>хлеб пшеничный</t>
  </si>
  <si>
    <t>Кофейный напиток с молоком</t>
  </si>
  <si>
    <t xml:space="preserve">Кофейный напиток </t>
  </si>
  <si>
    <t>хлеб ржаной</t>
  </si>
  <si>
    <t>Борщ из свежей капусты</t>
  </si>
  <si>
    <t>Огурец свежий</t>
  </si>
  <si>
    <t>свекла</t>
  </si>
  <si>
    <t>томат пюре</t>
  </si>
  <si>
    <t>сметана</t>
  </si>
  <si>
    <t>лук репчатый</t>
  </si>
  <si>
    <t>морковь</t>
  </si>
  <si>
    <t>капуста белокачанная</t>
  </si>
  <si>
    <t>петрушка</t>
  </si>
  <si>
    <t>бульон куриный</t>
  </si>
  <si>
    <t>масло растительное</t>
  </si>
  <si>
    <t>лимонная кислота</t>
  </si>
  <si>
    <t>Кнели с рисом</t>
  </si>
  <si>
    <t>крупа рисовая</t>
  </si>
  <si>
    <t>Соус томатный с овощами</t>
  </si>
  <si>
    <t>мука пшеничная</t>
  </si>
  <si>
    <t>соль йодированная</t>
  </si>
  <si>
    <t>Каша гречневая рассыпчатая</t>
  </si>
  <si>
    <t>гречневая крупа</t>
  </si>
  <si>
    <t>Компот из смеси сухофруктов</t>
  </si>
  <si>
    <t>смесь сухофруктов</t>
  </si>
  <si>
    <t>Солянка из птицы</t>
  </si>
  <si>
    <t>курица 1 категории</t>
  </si>
  <si>
    <t>огурцы соленые</t>
  </si>
  <si>
    <t>лимон</t>
  </si>
  <si>
    <t>Гуляш из говядины</t>
  </si>
  <si>
    <t>говядина,лопаточная часть</t>
  </si>
  <si>
    <t>петрушка(корень)</t>
  </si>
  <si>
    <t>Макаронные изделия отварные</t>
  </si>
  <si>
    <t xml:space="preserve">макаронные изделия </t>
  </si>
  <si>
    <t>Компот из апельсинов с яблоками</t>
  </si>
  <si>
    <t>яблоки</t>
  </si>
  <si>
    <t>апельсин</t>
  </si>
  <si>
    <t>Пряники</t>
  </si>
  <si>
    <t>молоко "Тема"</t>
  </si>
  <si>
    <t>Итого за день</t>
  </si>
  <si>
    <t>Рыба запеченная в сметанном соусе</t>
  </si>
  <si>
    <t>сыр твердый</t>
  </si>
  <si>
    <t>Рис отварной</t>
  </si>
  <si>
    <t>Чай с сахаром</t>
  </si>
  <si>
    <t>чай высшего сорта</t>
  </si>
  <si>
    <t xml:space="preserve">Хлеб пшеничный </t>
  </si>
  <si>
    <t>Хлеб ржаной</t>
  </si>
  <si>
    <t>Яблоко</t>
  </si>
  <si>
    <t>Икра морковная</t>
  </si>
  <si>
    <t>Щи из свежей капусты</t>
  </si>
  <si>
    <t>картофель</t>
  </si>
  <si>
    <t>Жаркое по- домашнему</t>
  </si>
  <si>
    <t>говядина, тазобедренная часть</t>
  </si>
  <si>
    <t>Напиток из шиповника</t>
  </si>
  <si>
    <t>шиповник</t>
  </si>
  <si>
    <t xml:space="preserve">Салат витаминный </t>
  </si>
  <si>
    <t>горох шлифованный</t>
  </si>
  <si>
    <t>Курица в соусе томатном</t>
  </si>
  <si>
    <t>Каша перловая рассыпчатая</t>
  </si>
  <si>
    <t>крупа перловая</t>
  </si>
  <si>
    <t>Напиток клюквенный</t>
  </si>
  <si>
    <t>клюква</t>
  </si>
  <si>
    <t>Сок яблочный</t>
  </si>
  <si>
    <t>Бутерброд с маслом</t>
  </si>
  <si>
    <t>Запеканка из творога</t>
  </si>
  <si>
    <t>крупа манная</t>
  </si>
  <si>
    <t>сухари</t>
  </si>
  <si>
    <t>творог</t>
  </si>
  <si>
    <t>ванилин</t>
  </si>
  <si>
    <t>яйцо</t>
  </si>
  <si>
    <t>Соус клюквенный</t>
  </si>
  <si>
    <t>крахмал</t>
  </si>
  <si>
    <t>Какао с молоком</t>
  </si>
  <si>
    <t>какао-порошок</t>
  </si>
  <si>
    <t>День 2</t>
  </si>
  <si>
    <t>День 3</t>
  </si>
  <si>
    <t>Икра свекольная</t>
  </si>
  <si>
    <t>Суп картофельный с клецками</t>
  </si>
  <si>
    <t>Рагу из птицы</t>
  </si>
  <si>
    <t xml:space="preserve">крахмал </t>
  </si>
  <si>
    <t>Хлеб пшеничный</t>
  </si>
  <si>
    <t>Овощи натуральные(помидор)</t>
  </si>
  <si>
    <t>помидоры</t>
  </si>
  <si>
    <t>Рассольник ленинградский</t>
  </si>
  <si>
    <t>Азу</t>
  </si>
  <si>
    <t>Компот из смородины черной</t>
  </si>
  <si>
    <t>смородина</t>
  </si>
  <si>
    <t>Кефир</t>
  </si>
  <si>
    <t>День 4</t>
  </si>
  <si>
    <t>колбаса"Сервелат фирменный"</t>
  </si>
  <si>
    <t>Омлет с сыром</t>
  </si>
  <si>
    <t>Кофейный напиток на сгущенном молоке</t>
  </si>
  <si>
    <t>молоко сгущ.с сахаром 8,5% жирности</t>
  </si>
  <si>
    <t xml:space="preserve">кофейный напиток </t>
  </si>
  <si>
    <t>Салат из моркови с яблоком и курагой</t>
  </si>
  <si>
    <t>курага</t>
  </si>
  <si>
    <t>макаронные изделия</t>
  </si>
  <si>
    <t>Говядина в кисло-сладком соусе</t>
  </si>
  <si>
    <t>говядина, тазабедренная часть</t>
  </si>
  <si>
    <t>Рис, припущенный с овощами</t>
  </si>
  <si>
    <t>горошек зеленый</t>
  </si>
  <si>
    <t>Компот из вишен и яблок</t>
  </si>
  <si>
    <t>помидоры(томаты)</t>
  </si>
  <si>
    <t>вишня</t>
  </si>
  <si>
    <t>огурец свежий</t>
  </si>
  <si>
    <t>Суп картофельный с фрикадельками(мясными)</t>
  </si>
  <si>
    <t>говядина (котлетное мясо)</t>
  </si>
  <si>
    <t>Суфле рыбное</t>
  </si>
  <si>
    <t xml:space="preserve">Капуста тушеная </t>
  </si>
  <si>
    <t>Вафли</t>
  </si>
  <si>
    <t>Сок фруктовый или ягодный</t>
  </si>
  <si>
    <t>Сок абрикосовый</t>
  </si>
  <si>
    <t>День 5</t>
  </si>
  <si>
    <t>Яйцо вареное</t>
  </si>
  <si>
    <t xml:space="preserve">яйцо </t>
  </si>
  <si>
    <t>Бутерброд с маслом и сыром</t>
  </si>
  <si>
    <t>Каша манная вязкая</t>
  </si>
  <si>
    <t>Чай с молоком</t>
  </si>
  <si>
    <t>Банан</t>
  </si>
  <si>
    <t>курица,1 категории</t>
  </si>
  <si>
    <t>Котлеты, биточки, шницели припущенные</t>
  </si>
  <si>
    <t>Фасоль отварная</t>
  </si>
  <si>
    <t xml:space="preserve">Фасоль </t>
  </si>
  <si>
    <t>Компот из свежих плодов или ягод</t>
  </si>
  <si>
    <t>Салат из моркови с зеленым горошком</t>
  </si>
  <si>
    <t>крупа ячневая</t>
  </si>
  <si>
    <t>пшено</t>
  </si>
  <si>
    <t>Кнели из говядины</t>
  </si>
  <si>
    <t>Рагу из овощей с кабачками</t>
  </si>
  <si>
    <t>кабачек</t>
  </si>
  <si>
    <t>горошек зеленый консервированный</t>
  </si>
  <si>
    <t>сухофрукты</t>
  </si>
  <si>
    <t>Сырники из творога запеченные</t>
  </si>
  <si>
    <t>Ряженка</t>
  </si>
  <si>
    <t>День 6</t>
  </si>
  <si>
    <t>Суфле из кур</t>
  </si>
  <si>
    <t>курица, 1 категории</t>
  </si>
  <si>
    <t>Соус молочный</t>
  </si>
  <si>
    <t>Макаронные изделия, запеченные с сыром</t>
  </si>
  <si>
    <t>Мандарин</t>
  </si>
  <si>
    <t>Картофельное пюре</t>
  </si>
  <si>
    <t>Кисель из кураги</t>
  </si>
  <si>
    <t>Овощи натуральные (помидоры)</t>
  </si>
  <si>
    <t>помидоры (томаты)</t>
  </si>
  <si>
    <t>Свекольник</t>
  </si>
  <si>
    <t>Бифштекс рубленый паровой</t>
  </si>
  <si>
    <t>Соус красный основной</t>
  </si>
  <si>
    <t>петрушка (корень)</t>
  </si>
  <si>
    <t>Молоко"Тема"</t>
  </si>
  <si>
    <t>День 7</t>
  </si>
  <si>
    <t>изюм</t>
  </si>
  <si>
    <t>Каша боярская (пшенная с изюмом)</t>
  </si>
  <si>
    <t>Салат из моркови и яблок</t>
  </si>
  <si>
    <t>Суп крестьянский с крупой</t>
  </si>
  <si>
    <t>Жаркое по-домашнему</t>
  </si>
  <si>
    <t>Салат из свежих помидоров с перцем</t>
  </si>
  <si>
    <t>перец сладкий</t>
  </si>
  <si>
    <t>лук зеленый</t>
  </si>
  <si>
    <t>Плов из отварной говядины</t>
  </si>
  <si>
    <t>Сок фруктовый</t>
  </si>
  <si>
    <t>сок сливовый</t>
  </si>
  <si>
    <t>День 8</t>
  </si>
  <si>
    <t>Соус из кураги</t>
  </si>
  <si>
    <t>абрикосы суш.без косточки (курага)</t>
  </si>
  <si>
    <t>Овощи натуральные (огурцы)</t>
  </si>
  <si>
    <t>Уха рыбацкая</t>
  </si>
  <si>
    <t>АЗУ</t>
  </si>
  <si>
    <t>Суп картофельный с макаронными изделиями</t>
  </si>
  <si>
    <t>Рулет из говядины паровой</t>
  </si>
  <si>
    <t>Каша ячневая рассыпчатая</t>
  </si>
  <si>
    <t xml:space="preserve">Соус томатный </t>
  </si>
  <si>
    <t>сок абрикосовый</t>
  </si>
  <si>
    <t>День 9</t>
  </si>
  <si>
    <t>Каша рисовая молочная жидкая</t>
  </si>
  <si>
    <t>какао порошок</t>
  </si>
  <si>
    <t>Салат зеленый с огурцами и помидорами</t>
  </si>
  <si>
    <t>Суп из овощей с фасолью</t>
  </si>
  <si>
    <t>фасоль</t>
  </si>
  <si>
    <t>Оладьи из печени по-кунцевски</t>
  </si>
  <si>
    <t>печень говяжья</t>
  </si>
  <si>
    <t xml:space="preserve">Овощи отварные </t>
  </si>
  <si>
    <t>смесь овощная быстрозамороженная</t>
  </si>
  <si>
    <t>Салат из огурцов с зеленым луком</t>
  </si>
  <si>
    <t>Капуста тушеная</t>
  </si>
  <si>
    <t>Икра кабачковая (промышленого производства)</t>
  </si>
  <si>
    <t>икра кабачковая</t>
  </si>
  <si>
    <t>Плов из отварной птицы</t>
  </si>
  <si>
    <t>Чай с лимоном</t>
  </si>
  <si>
    <t>Котлеты, биточки, шницели</t>
  </si>
  <si>
    <t>говядина( котлетное мясо)</t>
  </si>
  <si>
    <t>Пюре из гороха с пассерованным луком</t>
  </si>
  <si>
    <t>Суп картофельный с рыбой</t>
  </si>
  <si>
    <t>Печень говяжья по- строгановски</t>
  </si>
  <si>
    <t xml:space="preserve">Печень говяжья </t>
  </si>
  <si>
    <t>Сок фруктовый и ягодный</t>
  </si>
  <si>
    <t>сок мультифруктовый</t>
  </si>
  <si>
    <t>Энергетическая ценность, ккал</t>
  </si>
  <si>
    <t>Масло сливочное</t>
  </si>
  <si>
    <t>Молоко</t>
  </si>
  <si>
    <t>Кофейный напиток</t>
  </si>
  <si>
    <t>Сметана</t>
  </si>
  <si>
    <t>Масло растительное</t>
  </si>
  <si>
    <t>Мука пшеничная</t>
  </si>
  <si>
    <t>Макаронные изделия</t>
  </si>
  <si>
    <t>Апельсин</t>
  </si>
  <si>
    <t>Картофель</t>
  </si>
  <si>
    <t>Творог</t>
  </si>
  <si>
    <t>Суп с крупой</t>
  </si>
  <si>
    <t>День 10</t>
  </si>
  <si>
    <t>Химический состав за период (всего)</t>
  </si>
  <si>
    <t>№ п/п</t>
  </si>
  <si>
    <t>Прием пищи</t>
  </si>
  <si>
    <t>Белки, г</t>
  </si>
  <si>
    <t>Жиры, г</t>
  </si>
  <si>
    <t>Углеводы, г</t>
  </si>
  <si>
    <t>В1, мг</t>
  </si>
  <si>
    <t>C, мг</t>
  </si>
  <si>
    <t>A, мг</t>
  </si>
  <si>
    <t>E, мг</t>
  </si>
  <si>
    <t>Ca, мг</t>
  </si>
  <si>
    <t>P, мг</t>
  </si>
  <si>
    <t>Mg, мг</t>
  </si>
  <si>
    <t>Fe, мг</t>
  </si>
  <si>
    <t>ЗАВТРАК</t>
  </si>
  <si>
    <t>ОБЕД№1</t>
  </si>
  <si>
    <t>ОБЕД№2</t>
  </si>
  <si>
    <t>ПОЛДНИК</t>
  </si>
  <si>
    <t>Итого</t>
  </si>
  <si>
    <t>Химический состав за период (в среднем за день)</t>
  </si>
  <si>
    <t>Соль</t>
  </si>
  <si>
    <t>Дрожжи хлебопекарные</t>
  </si>
  <si>
    <t>Какао</t>
  </si>
  <si>
    <t>Чай</t>
  </si>
  <si>
    <t>Кондитерские изделия</t>
  </si>
  <si>
    <t>Сахар &lt;***&gt;</t>
  </si>
  <si>
    <t>Яйцо диетическое</t>
  </si>
  <si>
    <t>Сыр</t>
  </si>
  <si>
    <t>Кисломолочные продукты</t>
  </si>
  <si>
    <t>Колбасные изделия</t>
  </si>
  <si>
    <t>Рыба-филе</t>
  </si>
  <si>
    <t>Цыплята 1 категории</t>
  </si>
  <si>
    <t>Мясо жилованное</t>
  </si>
  <si>
    <t>Соки плодоовощные, напитки</t>
  </si>
  <si>
    <t>Фрукты (плоды) сухие, в т.ч. шиповник</t>
  </si>
  <si>
    <t>Фрукты (плоды) свежие</t>
  </si>
  <si>
    <t>Овощи свежие, зелень</t>
  </si>
  <si>
    <t>Крупы, бобовые</t>
  </si>
  <si>
    <t>Хлеб ржаной (ржано-пшеничный)</t>
  </si>
  <si>
    <t>Отклонение от нормы в % (+/-)</t>
  </si>
  <si>
    <t>В среднем за 1 день</t>
  </si>
  <si>
    <t>Фактически выдано продуктов в нетто по дням в качестве горячих завтраков (всего), г на одного человека/ количество питающихся</t>
  </si>
  <si>
    <t>Норма &lt;*&gt; продукта в граммах, г (нетто)</t>
  </si>
  <si>
    <t>Наименование группы продуктов</t>
  </si>
  <si>
    <t>N п/п</t>
  </si>
  <si>
    <t>7 - 10 лет</t>
  </si>
  <si>
    <t>Борщ с капустой и картофелем</t>
  </si>
  <si>
    <t>минтай</t>
  </si>
  <si>
    <t>филе куриное</t>
  </si>
  <si>
    <t>филе куры</t>
  </si>
  <si>
    <t>Булочка с корицей</t>
  </si>
  <si>
    <t>Круассан</t>
  </si>
  <si>
    <t>Салат из морковки</t>
  </si>
  <si>
    <t>колбаса</t>
  </si>
  <si>
    <t>Компот из вишни</t>
  </si>
  <si>
    <t>Салат из белокачанной капусты и огурцов</t>
  </si>
  <si>
    <t>огурцы свежие</t>
  </si>
  <si>
    <t>Фрутилад</t>
  </si>
  <si>
    <t>Компот  смородины черной</t>
  </si>
  <si>
    <t>Суп гороховый</t>
  </si>
  <si>
    <t>кета</t>
  </si>
  <si>
    <t>Пирожок с творогом</t>
  </si>
  <si>
    <t>Помидор в нарезке</t>
  </si>
  <si>
    <t>Компот из чернослива</t>
  </si>
  <si>
    <t>чернослив</t>
  </si>
  <si>
    <t>дрожжи</t>
  </si>
  <si>
    <t>корица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</si>
  <si>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</si>
  <si>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</si>
  <si>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</si>
  <si>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</si>
  <si>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</si>
  <si>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</si>
  <si>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</si>
  <si>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</si>
  <si>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</si>
  <si>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</si>
  <si>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</si>
  <si>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</si>
  <si>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</si>
  <si>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</si>
  <si>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</si>
  <si>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</si>
  <si>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Первая неделя</t>
  </si>
  <si>
    <t>Вторая неделя</t>
  </si>
  <si>
    <t>ВЕДОМОСТЬ КОНТРОЛЯ ЗА РАЦИОНОМ ПИТАНИЯ осенне-зимнее  меню школьники младшие(7-10 лет)</t>
  </si>
  <si>
    <t>Салат из моркови</t>
  </si>
  <si>
    <t>Компот из сухофруктов</t>
  </si>
  <si>
    <t>Хлеб ржаной (ржано-пшен.)</t>
  </si>
  <si>
    <t>Фрукты (сухие), шиповник</t>
  </si>
  <si>
    <t>Компот из апельсинов и яблок</t>
  </si>
  <si>
    <t>За 10 дней</t>
  </si>
  <si>
    <t>Бутерброд с колбасой</t>
  </si>
  <si>
    <t xml:space="preserve">сухари </t>
  </si>
  <si>
    <t>кукуруза (конс.)</t>
  </si>
  <si>
    <t>горошек зеленый (консер.)</t>
  </si>
  <si>
    <t>Салат из свежих помидоров и яблок</t>
  </si>
  <si>
    <t>помидоры свежие</t>
  </si>
  <si>
    <t xml:space="preserve">вишня </t>
  </si>
  <si>
    <t>крупа пшеничная</t>
  </si>
  <si>
    <t>Кнели рыбные</t>
  </si>
  <si>
    <t>Компот из яблок с лимоном</t>
  </si>
  <si>
    <t>Салат из свеклы с сыром</t>
  </si>
  <si>
    <t>сыр</t>
  </si>
  <si>
    <t xml:space="preserve">Птица отварная </t>
  </si>
  <si>
    <r>
      <rPr>
        <b/>
        <sz val="12"/>
        <color theme="1"/>
        <rFont val="Calibri"/>
        <family val="2"/>
        <charset val="204"/>
        <scheme val="minor"/>
      </rPr>
      <t>Хлеб пшеничный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</si>
  <si>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sz val="12"/>
        <color theme="1"/>
        <rFont val="Calibri"/>
        <family val="2"/>
        <charset val="204"/>
        <scheme val="minor"/>
      </rPr>
      <t>Суп картофельный с макаронным изд</t>
    </r>
    <r>
      <rPr>
        <sz val="12"/>
        <color theme="1"/>
        <rFont val="Calibri"/>
        <family val="2"/>
        <charset val="204"/>
        <scheme val="minor"/>
      </rPr>
      <t>.</t>
    </r>
  </si>
  <si>
    <t>Бутерброды с колбасой</t>
  </si>
  <si>
    <t>ЗАВТРАК     08:55 - 10:30</t>
  </si>
  <si>
    <t>Обед №2      15:00 - 16:00</t>
  </si>
  <si>
    <t xml:space="preserve">ПОЛДНИК      </t>
  </si>
  <si>
    <t xml:space="preserve">ПОЛДНИК    </t>
  </si>
  <si>
    <t xml:space="preserve">ПОЛДНИК  </t>
  </si>
  <si>
    <t>ОБЕД №2    15:00 - 16:00</t>
  </si>
  <si>
    <t>Напиток брусничный</t>
  </si>
  <si>
    <t>Компот из изюма</t>
  </si>
  <si>
    <t>Компот из клубники</t>
  </si>
  <si>
    <t>ОБЕД №1      11:30 - 12:30</t>
  </si>
  <si>
    <t>ОБЕД №1    11:30 - 12:30</t>
  </si>
  <si>
    <t>ОБЕД №1   11:30 - 12:30</t>
  </si>
  <si>
    <t>Груша</t>
  </si>
  <si>
    <t>мандарин</t>
  </si>
  <si>
    <t>брусника</t>
  </si>
  <si>
    <t>клубника с/м</t>
  </si>
  <si>
    <t>Компот из груш</t>
  </si>
  <si>
    <t>груши</t>
  </si>
  <si>
    <t>компот из малины</t>
  </si>
  <si>
    <t>малина с/м</t>
  </si>
  <si>
    <t>Компот из апельсинов</t>
  </si>
  <si>
    <t>апельсины</t>
  </si>
  <si>
    <t>ЗАВТРАК         08:55 - 10:30</t>
  </si>
  <si>
    <t>Обед №1      11:30 - 12:30</t>
  </si>
  <si>
    <t>ОБЕД №1            11:30 - 12:30</t>
  </si>
  <si>
    <t>ОБЕД №2            15:00-16:00</t>
  </si>
  <si>
    <t>ЗАВТРАК     08:55 -10:30</t>
  </si>
  <si>
    <t>ОБЕД №2  15:00-16:00</t>
  </si>
  <si>
    <t>ЗАВТРАК     08:55-10:30</t>
  </si>
  <si>
    <t>ОБЕД №1   11:30-12:30</t>
  </si>
  <si>
    <t>ОБЕД №2    15:00-16:00</t>
  </si>
  <si>
    <t xml:space="preserve">ПОЛДНИК   </t>
  </si>
  <si>
    <t>ОБЕД №2         15:00-16:00</t>
  </si>
  <si>
    <t xml:space="preserve">ПОЛДНИК     </t>
  </si>
  <si>
    <t>ОБЕД №2      15:00-16:00</t>
  </si>
  <si>
    <t>ОБЕД №2   15:00-16:00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</si>
</sst>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1" applyFont="1"/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0" fontId="7" fillId="0" borderId="0" xfId="1"/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15" xfId="1" applyFont="1" applyBorder="1"/>
    <xf numFmtId="0" fontId="12" fillId="0" borderId="16" xfId="1" applyFont="1" applyBorder="1"/>
    <xf numFmtId="0" fontId="12" fillId="0" borderId="17" xfId="1" applyFont="1" applyBorder="1"/>
    <xf numFmtId="0" fontId="12" fillId="0" borderId="16" xfId="1" applyFont="1" applyBorder="1" applyAlignment="1">
      <alignment horizontal="left" wrapText="1"/>
    </xf>
    <xf numFmtId="0" fontId="14" fillId="0" borderId="0" xfId="1" applyFont="1"/>
    <xf numFmtId="0" fontId="15" fillId="0" borderId="0" xfId="1" applyFont="1"/>
    <xf numFmtId="0" fontId="14" fillId="0" borderId="5" xfId="1" applyFont="1" applyBorder="1" applyAlignment="1">
      <alignment horizontal="center"/>
    </xf>
    <xf numFmtId="0" fontId="14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9" xfId="1" applyFont="1" applyBorder="1" applyAlignment="1">
      <alignment horizontal="center" wrapText="1"/>
    </xf>
    <xf numFmtId="0" fontId="14" fillId="0" borderId="9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2" fontId="2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wrapText="1"/>
    </xf>
    <xf numFmtId="0" fontId="10" fillId="0" borderId="7" xfId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11" fillId="0" borderId="7" xfId="1" applyFont="1" applyBorder="1"/>
    <xf numFmtId="2" fontId="11" fillId="0" borderId="2" xfId="1" applyNumberFormat="1" applyFont="1" applyBorder="1" applyAlignment="1">
      <alignment horizontal="center"/>
    </xf>
    <xf numFmtId="0" fontId="10" fillId="0" borderId="11" xfId="1" applyFont="1" applyBorder="1"/>
    <xf numFmtId="2" fontId="10" fillId="0" borderId="1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0" fontId="10" fillId="0" borderId="12" xfId="1" applyFont="1" applyBorder="1"/>
    <xf numFmtId="0" fontId="10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9" xfId="1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wrapText="1"/>
    </xf>
    <xf numFmtId="0" fontId="16" fillId="0" borderId="16" xfId="1" applyFont="1" applyBorder="1" applyAlignment="1">
      <alignment horizontal="center" wrapText="1"/>
    </xf>
    <xf numFmtId="0" fontId="16" fillId="0" borderId="9" xfId="1" applyFont="1" applyBorder="1" applyAlignment="1">
      <alignment horizontal="left" wrapText="1"/>
    </xf>
    <xf numFmtId="0" fontId="16" fillId="0" borderId="8" xfId="1" applyFont="1" applyBorder="1" applyAlignment="1">
      <alignment horizontal="left" wrapText="1"/>
    </xf>
    <xf numFmtId="0" fontId="16" fillId="0" borderId="16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28574</xdr:colOff>
      <xdr:row>1</xdr:row>
      <xdr:rowOff>4812294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82996" y="-1582996"/>
          <a:ext cx="7816332" cy="10982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A5:P61" totalsRowShown="0" headerRowDxfId="19" dataDxfId="17" headerRowBorderDxfId="18" tableBorderDxfId="16" headerRowCellStyle="Обычный 2" dataCellStyle="Обычный 2">
  <autoFilter ref="A5:P61"/>
  <tableColumns count="16">
    <tableColumn id="1" name="Столбец1" dataDxfId="15" dataCellStyle="Обычный 2"/>
    <tableColumn id="2" name="Столбец2" dataDxfId="14" dataCellStyle="Обычный 2"/>
    <tableColumn id="3" name="Столбец3" dataDxfId="13" dataCellStyle="Обычный 2"/>
    <tableColumn id="4" name="Столбец4" dataDxfId="12" dataCellStyle="Обычный 2"/>
    <tableColumn id="5" name="Столбец5" dataDxfId="11" dataCellStyle="Обычный 2"/>
    <tableColumn id="6" name="Столбец6" dataDxfId="10" dataCellStyle="Обычный 2"/>
    <tableColumn id="7" name="Столбец7" dataDxfId="9" dataCellStyle="Обычный 2"/>
    <tableColumn id="8" name="Столбец8" dataDxfId="8" dataCellStyle="Обычный 2"/>
    <tableColumn id="9" name="Столбец9" dataDxfId="7" dataCellStyle="Обычный 2"/>
    <tableColumn id="10" name="Столбец10" dataDxfId="6" dataCellStyle="Обычный 2"/>
    <tableColumn id="11" name="Столбец11" dataDxfId="5" dataCellStyle="Обычный 2"/>
    <tableColumn id="12" name="Столбец12" dataDxfId="4" dataCellStyle="Обычный 2"/>
    <tableColumn id="13" name="Столбец13" dataDxfId="3" dataCellStyle="Обычный 2"/>
    <tableColumn id="14" name="Столбец14" dataDxfId="2" dataCellStyle="Обычный 2"/>
    <tableColumn id="15" name="Столбец15" dataDxfId="1" dataCellStyle="Обычный 2"/>
    <tableColumn id="16" name="Столбец16" dataDxfId="0" dataCellStyle="Обычный 2">
      <calculatedColumnFormula>O6-C6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97"/>
  <sheetViews>
    <sheetView tabSelected="1" zoomScale="78" zoomScaleNormal="78" workbookViewId="0"/>
  </sheetViews>
  <sheetFormatPr defaultRowHeight="12.75" x14ac:dyDescent="0.2"/>
  <cols>
    <col min="1" max="1" width="6.140625" style="3" customWidth="1"/>
    <col min="2" max="2" width="33.28515625" style="3" customWidth="1"/>
    <col min="3" max="3" width="13.140625" style="3" bestFit="1" customWidth="1"/>
    <col min="4" max="4" width="9.140625" style="3" customWidth="1"/>
    <col min="5" max="5" width="8.85546875" style="3" customWidth="1"/>
    <col min="6" max="6" width="9.85546875" style="3" customWidth="1"/>
    <col min="7" max="7" width="13.140625" style="3" bestFit="1" customWidth="1"/>
    <col min="8" max="8" width="7" style="3" customWidth="1"/>
    <col min="9" max="9" width="8.28515625" style="3" customWidth="1"/>
    <col min="10" max="10" width="9.42578125" style="3" customWidth="1"/>
    <col min="11" max="11" width="8" style="3" customWidth="1"/>
    <col min="12" max="12" width="10.140625" style="3" customWidth="1"/>
    <col min="13" max="13" width="10.42578125" style="3" customWidth="1"/>
    <col min="14" max="14" width="9.42578125" style="3" customWidth="1"/>
    <col min="15" max="15" width="8.140625" style="3" customWidth="1"/>
    <col min="16" max="16384" width="9.140625" style="3"/>
  </cols>
  <sheetData>
    <row r="1" spans="1:15" s="8" customFormat="1" ht="237" customHeight="1" x14ac:dyDescent="0.25"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8" customFormat="1" ht="405.75" customHeight="1" x14ac:dyDescent="0.25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5" ht="18" x14ac:dyDescent="0.25">
      <c r="A5" s="1" t="s">
        <v>20</v>
      </c>
    </row>
    <row r="7" spans="1:15" ht="15.75" x14ac:dyDescent="0.25">
      <c r="A7" s="2" t="s">
        <v>19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</row>
    <row r="8" spans="1:15" ht="28.5" customHeight="1" x14ac:dyDescent="0.2">
      <c r="A8" s="62" t="s">
        <v>17</v>
      </c>
      <c r="B8" s="61" t="s">
        <v>0</v>
      </c>
      <c r="C8" s="61" t="s">
        <v>1</v>
      </c>
      <c r="D8" s="63" t="s">
        <v>9</v>
      </c>
      <c r="E8" s="64"/>
      <c r="F8" s="65"/>
      <c r="G8" s="61" t="s">
        <v>10</v>
      </c>
      <c r="H8" s="61" t="s">
        <v>7</v>
      </c>
      <c r="I8" s="61"/>
      <c r="J8" s="61"/>
      <c r="K8" s="61"/>
      <c r="L8" s="61" t="s">
        <v>8</v>
      </c>
      <c r="M8" s="61"/>
      <c r="N8" s="61"/>
      <c r="O8" s="61"/>
    </row>
    <row r="9" spans="1:15" ht="29.25" customHeight="1" x14ac:dyDescent="0.2">
      <c r="A9" s="62"/>
      <c r="B9" s="61"/>
      <c r="C9" s="61"/>
      <c r="D9" s="41" t="s">
        <v>2</v>
      </c>
      <c r="E9" s="42" t="s">
        <v>3</v>
      </c>
      <c r="F9" s="42" t="s">
        <v>4</v>
      </c>
      <c r="G9" s="61"/>
      <c r="H9" s="42" t="s">
        <v>11</v>
      </c>
      <c r="I9" s="42" t="s">
        <v>12</v>
      </c>
      <c r="J9" s="42" t="s">
        <v>13</v>
      </c>
      <c r="K9" s="42" t="s">
        <v>5</v>
      </c>
      <c r="L9" s="43" t="s">
        <v>14</v>
      </c>
      <c r="M9" s="42" t="s">
        <v>15</v>
      </c>
      <c r="N9" s="42" t="s">
        <v>6</v>
      </c>
      <c r="O9" s="42" t="s">
        <v>16</v>
      </c>
    </row>
    <row r="10" spans="1:15" s="7" customFormat="1" ht="15.75" x14ac:dyDescent="0.25">
      <c r="A10" s="44"/>
      <c r="B10" s="44" t="s">
        <v>366</v>
      </c>
      <c r="C10" s="44"/>
      <c r="D10" s="44">
        <f>7.16+5.2+3.2+3.04+2.64</f>
        <v>21.24</v>
      </c>
      <c r="E10" s="44">
        <f>9.4+7.8+2.7+0.32+0.48</f>
        <v>20.7</v>
      </c>
      <c r="F10" s="44">
        <f>28.8+7.4+15.9+19.68+13.36</f>
        <v>85.14</v>
      </c>
      <c r="G10" s="44">
        <f>228.4+121+79+94+69.6</f>
        <v>592</v>
      </c>
      <c r="H10" s="44">
        <f>0.16+0.02+0.04+0.04+0.07</f>
        <v>0.33</v>
      </c>
      <c r="I10" s="44">
        <f>1.54+0.1+1.3</f>
        <v>2.9400000000000004</v>
      </c>
      <c r="J10" s="44">
        <f>0.06+52.3+0.02</f>
        <v>52.38</v>
      </c>
      <c r="K10" s="44">
        <f>0.54+0.28+0.44+0.56</f>
        <v>1.82</v>
      </c>
      <c r="L10" s="44">
        <f>156.8+157.8+126+8+14</f>
        <v>462.6</v>
      </c>
      <c r="M10" s="44">
        <f>206+103.4+90+26+63.2</f>
        <v>488.59999999999997</v>
      </c>
      <c r="N10" s="44">
        <f>55.6+10.5+14+5.6+18.8</f>
        <v>104.49999999999999</v>
      </c>
      <c r="O10" s="44">
        <f>1.24+0.28+0.1+0.44+1.56</f>
        <v>3.62</v>
      </c>
    </row>
    <row r="11" spans="1:15" ht="31.5" x14ac:dyDescent="0.25">
      <c r="A11" s="45">
        <v>232</v>
      </c>
      <c r="B11" s="44" t="s">
        <v>21</v>
      </c>
      <c r="C11" s="45">
        <v>200</v>
      </c>
      <c r="D11" s="45">
        <v>7.16</v>
      </c>
      <c r="E11" s="45">
        <v>9.4</v>
      </c>
      <c r="F11" s="45">
        <v>28.8</v>
      </c>
      <c r="G11" s="45">
        <v>228.4</v>
      </c>
      <c r="H11" s="45">
        <v>0.16</v>
      </c>
      <c r="I11" s="45">
        <v>1.54</v>
      </c>
      <c r="J11" s="45">
        <v>0.06</v>
      </c>
      <c r="K11" s="45">
        <v>0.54</v>
      </c>
      <c r="L11" s="45">
        <v>156.80000000000001</v>
      </c>
      <c r="M11" s="45">
        <v>206</v>
      </c>
      <c r="N11" s="45">
        <v>55.6</v>
      </c>
      <c r="O11" s="45">
        <v>1.24</v>
      </c>
    </row>
    <row r="12" spans="1:15" ht="15.75" x14ac:dyDescent="0.25">
      <c r="A12" s="45"/>
      <c r="B12" s="45" t="s">
        <v>22</v>
      </c>
      <c r="C12" s="45">
        <v>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5.75" x14ac:dyDescent="0.25">
      <c r="A13" s="45"/>
      <c r="B13" s="45" t="s">
        <v>23</v>
      </c>
      <c r="C13" s="45">
        <v>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5.75" x14ac:dyDescent="0.25">
      <c r="A14" s="45"/>
      <c r="B14" s="45" t="s">
        <v>24</v>
      </c>
      <c r="C14" s="45">
        <v>25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15.75" x14ac:dyDescent="0.25">
      <c r="A15" s="45"/>
      <c r="B15" s="45" t="s">
        <v>25</v>
      </c>
      <c r="C15" s="45">
        <v>118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5.75" x14ac:dyDescent="0.25">
      <c r="A16" s="45">
        <v>64</v>
      </c>
      <c r="B16" s="44" t="s">
        <v>26</v>
      </c>
      <c r="C16" s="45">
        <v>35</v>
      </c>
      <c r="D16" s="45">
        <v>5.2</v>
      </c>
      <c r="E16" s="45">
        <v>7.8</v>
      </c>
      <c r="F16" s="45">
        <v>7.4</v>
      </c>
      <c r="G16" s="45">
        <v>121</v>
      </c>
      <c r="H16" s="45">
        <v>0.02</v>
      </c>
      <c r="I16" s="45">
        <v>0.1</v>
      </c>
      <c r="J16" s="45">
        <v>52.3</v>
      </c>
      <c r="K16" s="45">
        <v>0.28000000000000003</v>
      </c>
      <c r="L16" s="45">
        <v>157.80000000000001</v>
      </c>
      <c r="M16" s="45">
        <v>103.4</v>
      </c>
      <c r="N16" s="45">
        <v>10.5</v>
      </c>
      <c r="O16" s="45">
        <v>0.28000000000000003</v>
      </c>
    </row>
    <row r="17" spans="1:15" ht="15.75" x14ac:dyDescent="0.25">
      <c r="A17" s="45"/>
      <c r="B17" s="45" t="s">
        <v>339</v>
      </c>
      <c r="C17" s="45">
        <v>15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5.75" x14ac:dyDescent="0.25">
      <c r="A18" s="45"/>
      <c r="B18" s="45" t="s">
        <v>23</v>
      </c>
      <c r="C18" s="45">
        <v>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ht="15.75" x14ac:dyDescent="0.25">
      <c r="A19" s="45"/>
      <c r="B19" s="45" t="s">
        <v>27</v>
      </c>
      <c r="C19" s="45">
        <v>15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 x14ac:dyDescent="0.25">
      <c r="A20" s="45">
        <v>465</v>
      </c>
      <c r="B20" s="44" t="s">
        <v>28</v>
      </c>
      <c r="C20" s="45">
        <v>200</v>
      </c>
      <c r="D20" s="45">
        <v>3.2</v>
      </c>
      <c r="E20" s="45">
        <v>2.7</v>
      </c>
      <c r="F20" s="45">
        <v>15.9</v>
      </c>
      <c r="G20" s="45">
        <v>79</v>
      </c>
      <c r="H20" s="45">
        <v>0.04</v>
      </c>
      <c r="I20" s="45">
        <v>1.3</v>
      </c>
      <c r="J20" s="45">
        <v>0.02</v>
      </c>
      <c r="K20" s="45">
        <v>0</v>
      </c>
      <c r="L20" s="45">
        <v>126</v>
      </c>
      <c r="M20" s="45">
        <v>90</v>
      </c>
      <c r="N20" s="45">
        <v>14</v>
      </c>
      <c r="O20" s="45">
        <v>0.1</v>
      </c>
    </row>
    <row r="21" spans="1:15" ht="15.75" x14ac:dyDescent="0.25">
      <c r="A21" s="45"/>
      <c r="B21" s="45" t="s">
        <v>22</v>
      </c>
      <c r="C21" s="45">
        <v>10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.75" x14ac:dyDescent="0.25">
      <c r="A22" s="45"/>
      <c r="B22" s="45" t="s">
        <v>29</v>
      </c>
      <c r="C22" s="45">
        <v>2.4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75" x14ac:dyDescent="0.25">
      <c r="A23" s="45"/>
      <c r="B23" s="45" t="s">
        <v>25</v>
      </c>
      <c r="C23" s="45">
        <v>100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5.75" x14ac:dyDescent="0.25">
      <c r="A24" s="45"/>
      <c r="B24" s="44" t="s">
        <v>27</v>
      </c>
      <c r="C24" s="45">
        <v>40</v>
      </c>
      <c r="D24" s="45">
        <v>3.04</v>
      </c>
      <c r="E24" s="45">
        <v>0.32</v>
      </c>
      <c r="F24" s="45">
        <v>19.68</v>
      </c>
      <c r="G24" s="45">
        <v>94</v>
      </c>
      <c r="H24" s="45">
        <v>0.04</v>
      </c>
      <c r="I24" s="45">
        <v>0</v>
      </c>
      <c r="J24" s="45">
        <v>0</v>
      </c>
      <c r="K24" s="45">
        <v>0.44</v>
      </c>
      <c r="L24" s="45">
        <v>8</v>
      </c>
      <c r="M24" s="45">
        <v>26</v>
      </c>
      <c r="N24" s="45">
        <v>5.6</v>
      </c>
      <c r="O24" s="45">
        <v>0.44</v>
      </c>
    </row>
    <row r="25" spans="1:15" ht="15.75" x14ac:dyDescent="0.25">
      <c r="A25" s="45"/>
      <c r="B25" s="44" t="s">
        <v>30</v>
      </c>
      <c r="C25" s="45">
        <v>30</v>
      </c>
      <c r="D25" s="45">
        <v>2.64</v>
      </c>
      <c r="E25" s="45">
        <v>0.48</v>
      </c>
      <c r="F25" s="45">
        <v>13.36</v>
      </c>
      <c r="G25" s="45">
        <v>69.599999999999994</v>
      </c>
      <c r="H25" s="45">
        <v>7.0000000000000007E-2</v>
      </c>
      <c r="I25" s="45">
        <v>0</v>
      </c>
      <c r="J25" s="45">
        <v>0</v>
      </c>
      <c r="K25" s="45">
        <v>0.56000000000000005</v>
      </c>
      <c r="L25" s="45">
        <v>14</v>
      </c>
      <c r="M25" s="45">
        <v>63.2</v>
      </c>
      <c r="N25" s="45">
        <v>18.8</v>
      </c>
      <c r="O25" s="45">
        <v>1.56</v>
      </c>
    </row>
    <row r="26" spans="1:15" ht="15.75" x14ac:dyDescent="0.25">
      <c r="A26" s="45">
        <v>82</v>
      </c>
      <c r="B26" s="44" t="s">
        <v>145</v>
      </c>
      <c r="C26" s="45">
        <v>150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7" customFormat="1" ht="15.75" x14ac:dyDescent="0.25">
      <c r="A27" s="44"/>
      <c r="B27" s="44" t="s">
        <v>367</v>
      </c>
      <c r="C27" s="44"/>
      <c r="D27" s="44">
        <f>0.8+3.77+13.45+0.93+8.55+0.5+2.64+3.04</f>
        <v>33.68</v>
      </c>
      <c r="E27" s="44">
        <f t="shared" ref="E27:O27" si="0">E28+E29+E40+E46+E54+E57+E61+E62</f>
        <v>33.052</v>
      </c>
      <c r="F27" s="44">
        <f t="shared" si="0"/>
        <v>116.32999999999998</v>
      </c>
      <c r="G27" s="44">
        <f t="shared" si="0"/>
        <v>895.16</v>
      </c>
      <c r="H27" s="44">
        <f t="shared" si="0"/>
        <v>0.44466666666666665</v>
      </c>
      <c r="I27" s="44">
        <f t="shared" si="0"/>
        <v>32.35</v>
      </c>
      <c r="J27" s="44">
        <f t="shared" si="0"/>
        <v>80.72</v>
      </c>
      <c r="K27" s="44">
        <f t="shared" si="0"/>
        <v>2.36</v>
      </c>
      <c r="L27" s="44">
        <f t="shared" si="0"/>
        <v>159.53</v>
      </c>
      <c r="M27" s="44">
        <f t="shared" si="0"/>
        <v>482.68799999999993</v>
      </c>
      <c r="N27" s="44">
        <f t="shared" si="0"/>
        <v>217.07000000000002</v>
      </c>
      <c r="O27" s="44">
        <f t="shared" si="0"/>
        <v>10.754</v>
      </c>
    </row>
    <row r="28" spans="1:15" ht="15.75" x14ac:dyDescent="0.25">
      <c r="A28" s="45">
        <v>148</v>
      </c>
      <c r="B28" s="44" t="s">
        <v>32</v>
      </c>
      <c r="C28" s="45">
        <v>60</v>
      </c>
      <c r="D28" s="45">
        <v>0.8</v>
      </c>
      <c r="E28" s="45">
        <v>0.1</v>
      </c>
      <c r="F28" s="45">
        <v>2.5</v>
      </c>
      <c r="G28" s="45">
        <v>14</v>
      </c>
      <c r="H28" s="45">
        <v>0.03</v>
      </c>
      <c r="I28" s="45">
        <v>10</v>
      </c>
      <c r="J28" s="45">
        <v>0</v>
      </c>
      <c r="K28" s="45">
        <v>0.1</v>
      </c>
      <c r="L28" s="45">
        <v>23</v>
      </c>
      <c r="M28" s="45">
        <v>42</v>
      </c>
      <c r="N28" s="45">
        <v>14</v>
      </c>
      <c r="O28" s="45">
        <v>0.6</v>
      </c>
    </row>
    <row r="29" spans="1:15" ht="31.5" x14ac:dyDescent="0.25">
      <c r="A29" s="45">
        <v>95</v>
      </c>
      <c r="B29" s="44" t="s">
        <v>282</v>
      </c>
      <c r="C29" s="45">
        <v>250</v>
      </c>
      <c r="D29" s="45">
        <v>3.77</v>
      </c>
      <c r="E29" s="45">
        <v>6.35</v>
      </c>
      <c r="F29" s="45">
        <v>9.67</v>
      </c>
      <c r="G29" s="45">
        <v>109.72</v>
      </c>
      <c r="H29" s="45">
        <v>0.03</v>
      </c>
      <c r="I29" s="45">
        <v>19.93</v>
      </c>
      <c r="J29" s="45">
        <v>0</v>
      </c>
      <c r="K29" s="45">
        <v>0.1</v>
      </c>
      <c r="L29" s="45">
        <v>47.75</v>
      </c>
      <c r="M29" s="45">
        <v>34.130000000000003</v>
      </c>
      <c r="N29" s="45">
        <v>15.55</v>
      </c>
      <c r="O29" s="45">
        <v>0.93</v>
      </c>
    </row>
    <row r="30" spans="1:15" ht="15.75" x14ac:dyDescent="0.25">
      <c r="A30" s="45"/>
      <c r="B30" s="45" t="s">
        <v>33</v>
      </c>
      <c r="C30" s="45">
        <v>40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ht="15.75" x14ac:dyDescent="0.25">
      <c r="A31" s="45"/>
      <c r="B31" s="45" t="s">
        <v>34</v>
      </c>
      <c r="C31" s="45">
        <v>7.5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.75" x14ac:dyDescent="0.25">
      <c r="A32" s="45"/>
      <c r="B32" s="45" t="s">
        <v>22</v>
      </c>
      <c r="C32" s="45">
        <v>2.5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5.75" x14ac:dyDescent="0.25">
      <c r="A33" s="45"/>
      <c r="B33" s="45" t="s">
        <v>35</v>
      </c>
      <c r="C33" s="45">
        <v>12.5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.75" x14ac:dyDescent="0.25">
      <c r="A34" s="45"/>
      <c r="B34" s="45" t="s">
        <v>36</v>
      </c>
      <c r="C34" s="45">
        <v>10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.75" x14ac:dyDescent="0.25">
      <c r="A35" s="45"/>
      <c r="B35" s="45" t="s">
        <v>37</v>
      </c>
      <c r="C35" s="45">
        <v>12.2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.75" x14ac:dyDescent="0.25">
      <c r="A36" s="45"/>
      <c r="B36" s="45" t="s">
        <v>38</v>
      </c>
      <c r="C36" s="45">
        <v>20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5.75" x14ac:dyDescent="0.25">
      <c r="A37" s="45"/>
      <c r="B37" s="45" t="s">
        <v>41</v>
      </c>
      <c r="C37" s="45">
        <v>5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.75" x14ac:dyDescent="0.25">
      <c r="A38" s="45"/>
      <c r="B38" s="45" t="s">
        <v>77</v>
      </c>
      <c r="C38" s="45">
        <v>20.05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15.75" x14ac:dyDescent="0.25">
      <c r="A39" s="45"/>
      <c r="B39" s="45" t="s">
        <v>42</v>
      </c>
      <c r="C39" s="45">
        <v>3.75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.75" x14ac:dyDescent="0.25">
      <c r="A40" s="45">
        <v>371</v>
      </c>
      <c r="B40" s="44" t="s">
        <v>43</v>
      </c>
      <c r="C40" s="45">
        <v>80</v>
      </c>
      <c r="D40" s="45">
        <v>13.45</v>
      </c>
      <c r="E40" s="45">
        <v>15.39</v>
      </c>
      <c r="F40" s="45">
        <v>5.35</v>
      </c>
      <c r="G40" s="45">
        <v>213.18</v>
      </c>
      <c r="H40" s="45">
        <v>0.06</v>
      </c>
      <c r="I40" s="45">
        <v>1.3</v>
      </c>
      <c r="J40" s="45">
        <v>67.37</v>
      </c>
      <c r="K40" s="45">
        <v>0.45</v>
      </c>
      <c r="L40" s="45">
        <v>20.399999999999999</v>
      </c>
      <c r="M40" s="45">
        <v>88.007999999999996</v>
      </c>
      <c r="N40" s="45">
        <v>17.440000000000001</v>
      </c>
      <c r="O40" s="45">
        <v>1.17</v>
      </c>
    </row>
    <row r="41" spans="1:15" ht="15.75" x14ac:dyDescent="0.25">
      <c r="A41" s="45"/>
      <c r="B41" s="45" t="s">
        <v>44</v>
      </c>
      <c r="C41" s="45">
        <v>7.41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15.75" x14ac:dyDescent="0.25">
      <c r="A42" s="45"/>
      <c r="B42" s="45" t="s">
        <v>285</v>
      </c>
      <c r="C42" s="45">
        <v>76.38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15.75" x14ac:dyDescent="0.25">
      <c r="A43" s="45"/>
      <c r="B43" s="45" t="s">
        <v>47</v>
      </c>
      <c r="C43" s="45">
        <v>0.34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15.75" x14ac:dyDescent="0.25">
      <c r="A44" s="45"/>
      <c r="B44" s="45" t="s">
        <v>25</v>
      </c>
      <c r="C44" s="45">
        <v>8.5500000000000007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15.75" x14ac:dyDescent="0.25">
      <c r="A45" s="45"/>
      <c r="B45" s="45" t="s">
        <v>23</v>
      </c>
      <c r="C45" s="45">
        <v>3.19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15.75" x14ac:dyDescent="0.25">
      <c r="A46" s="45">
        <v>420</v>
      </c>
      <c r="B46" s="44" t="s">
        <v>45</v>
      </c>
      <c r="C46" s="45">
        <v>35</v>
      </c>
      <c r="D46" s="45">
        <f>0.93/75*35</f>
        <v>0.43400000000000005</v>
      </c>
      <c r="E46" s="45">
        <f>5.49/75*35</f>
        <v>2.5619999999999998</v>
      </c>
      <c r="F46" s="45">
        <v>1.69</v>
      </c>
      <c r="G46" s="45">
        <v>31.61</v>
      </c>
      <c r="H46" s="45">
        <f>0.01/75*35</f>
        <v>4.6666666666666671E-3</v>
      </c>
      <c r="I46" s="45">
        <v>0.62</v>
      </c>
      <c r="J46" s="45">
        <f>28.5/75*35</f>
        <v>13.3</v>
      </c>
      <c r="K46" s="45">
        <v>0.09</v>
      </c>
      <c r="L46" s="45">
        <f>8.85/75*35</f>
        <v>4.13</v>
      </c>
      <c r="M46" s="45">
        <v>7.7</v>
      </c>
      <c r="N46" s="45">
        <v>3.38</v>
      </c>
      <c r="O46" s="45">
        <v>4.0000000000000001E-3</v>
      </c>
    </row>
    <row r="47" spans="1:15" ht="15.75" x14ac:dyDescent="0.25">
      <c r="A47" s="45"/>
      <c r="B47" s="45" t="s">
        <v>36</v>
      </c>
      <c r="C47" s="45">
        <v>1.4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15.75" x14ac:dyDescent="0.25">
      <c r="A48" s="45"/>
      <c r="B48" s="45" t="s">
        <v>37</v>
      </c>
      <c r="C48" s="45">
        <v>1.36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ht="15.75" x14ac:dyDescent="0.25">
      <c r="A49" s="45"/>
      <c r="B49" s="45" t="s">
        <v>23</v>
      </c>
      <c r="C49" s="45">
        <v>4.0999999999999996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15.75" x14ac:dyDescent="0.25">
      <c r="A50" s="45"/>
      <c r="B50" s="45" t="s">
        <v>46</v>
      </c>
      <c r="C50" s="45">
        <f>3.75/75*35</f>
        <v>1.75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ht="15.75" x14ac:dyDescent="0.25">
      <c r="A51" s="45"/>
      <c r="B51" s="45" t="s">
        <v>34</v>
      </c>
      <c r="C51" s="45">
        <f>11.25/75*35</f>
        <v>5.25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15.75" x14ac:dyDescent="0.25">
      <c r="A52" s="45"/>
      <c r="B52" s="45" t="s">
        <v>22</v>
      </c>
      <c r="C52" s="45">
        <f>1.35/75*35</f>
        <v>0.63000000000000012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15.75" x14ac:dyDescent="0.25">
      <c r="A53" s="45"/>
      <c r="B53" s="45" t="s">
        <v>47</v>
      </c>
      <c r="C53" s="45">
        <f>0.75/75*35</f>
        <v>0.35000000000000003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15.75" x14ac:dyDescent="0.25">
      <c r="A54" s="45">
        <v>202</v>
      </c>
      <c r="B54" s="44" t="s">
        <v>48</v>
      </c>
      <c r="C54" s="45">
        <v>150</v>
      </c>
      <c r="D54" s="45">
        <v>8.5500000000000007</v>
      </c>
      <c r="E54" s="45">
        <v>7.85</v>
      </c>
      <c r="F54" s="45">
        <v>37.08</v>
      </c>
      <c r="G54" s="45">
        <v>253.05</v>
      </c>
      <c r="H54" s="45">
        <v>0.21</v>
      </c>
      <c r="I54" s="45">
        <v>0</v>
      </c>
      <c r="J54" s="45">
        <v>0.05</v>
      </c>
      <c r="K54" s="45">
        <v>0.62</v>
      </c>
      <c r="L54" s="45">
        <v>14.25</v>
      </c>
      <c r="M54" s="45">
        <v>202.65</v>
      </c>
      <c r="N54" s="45">
        <v>135.30000000000001</v>
      </c>
      <c r="O54" s="45">
        <v>4.55</v>
      </c>
    </row>
    <row r="55" spans="1:15" ht="15.75" x14ac:dyDescent="0.25">
      <c r="A55" s="45"/>
      <c r="B55" s="45" t="s">
        <v>23</v>
      </c>
      <c r="C55" s="45">
        <v>6.6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ht="15.75" x14ac:dyDescent="0.25">
      <c r="A56" s="45"/>
      <c r="B56" s="45" t="s">
        <v>49</v>
      </c>
      <c r="C56" s="45">
        <v>50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ht="15.75" x14ac:dyDescent="0.25">
      <c r="A57" s="45">
        <v>495</v>
      </c>
      <c r="B57" s="44" t="s">
        <v>50</v>
      </c>
      <c r="C57" s="45">
        <v>200</v>
      </c>
      <c r="D57" s="45">
        <v>0.5</v>
      </c>
      <c r="E57" s="45">
        <v>0</v>
      </c>
      <c r="F57" s="45">
        <v>27</v>
      </c>
      <c r="G57" s="45">
        <v>110</v>
      </c>
      <c r="H57" s="45">
        <v>0</v>
      </c>
      <c r="I57" s="45">
        <v>0.5</v>
      </c>
      <c r="J57" s="45">
        <v>0</v>
      </c>
      <c r="K57" s="45">
        <v>0</v>
      </c>
      <c r="L57" s="45">
        <v>28</v>
      </c>
      <c r="M57" s="45">
        <v>19</v>
      </c>
      <c r="N57" s="45">
        <v>7</v>
      </c>
      <c r="O57" s="45">
        <v>1.5</v>
      </c>
    </row>
    <row r="58" spans="1:15" ht="15.75" x14ac:dyDescent="0.25">
      <c r="A58" s="45"/>
      <c r="B58" s="45" t="s">
        <v>22</v>
      </c>
      <c r="C58" s="45">
        <v>10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ht="15.75" x14ac:dyDescent="0.25">
      <c r="A59" s="45"/>
      <c r="B59" s="45" t="s">
        <v>42</v>
      </c>
      <c r="C59" s="45">
        <v>10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ht="15.75" x14ac:dyDescent="0.25">
      <c r="A60" s="45"/>
      <c r="B60" s="45" t="s">
        <v>51</v>
      </c>
      <c r="C60" s="45">
        <v>20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ht="15.75" x14ac:dyDescent="0.25">
      <c r="A61" s="45"/>
      <c r="B61" s="44" t="s">
        <v>30</v>
      </c>
      <c r="C61" s="45">
        <v>30</v>
      </c>
      <c r="D61" s="45">
        <v>2.64</v>
      </c>
      <c r="E61" s="45">
        <v>0.48</v>
      </c>
      <c r="F61" s="45">
        <v>13.36</v>
      </c>
      <c r="G61" s="45">
        <v>69.599999999999994</v>
      </c>
      <c r="H61" s="45">
        <v>7.0000000000000007E-2</v>
      </c>
      <c r="I61" s="45">
        <v>0</v>
      </c>
      <c r="J61" s="45">
        <v>0</v>
      </c>
      <c r="K61" s="45">
        <v>0.56000000000000005</v>
      </c>
      <c r="L61" s="45">
        <v>14</v>
      </c>
      <c r="M61" s="45">
        <v>63.2</v>
      </c>
      <c r="N61" s="45">
        <v>18.8</v>
      </c>
      <c r="O61" s="45">
        <v>1.56</v>
      </c>
    </row>
    <row r="62" spans="1:15" ht="15.75" x14ac:dyDescent="0.25">
      <c r="A62" s="45"/>
      <c r="B62" s="44" t="s">
        <v>27</v>
      </c>
      <c r="C62" s="45">
        <v>40</v>
      </c>
      <c r="D62" s="45">
        <v>3.04</v>
      </c>
      <c r="E62" s="45">
        <v>0.32</v>
      </c>
      <c r="F62" s="45">
        <v>19.68</v>
      </c>
      <c r="G62" s="45">
        <v>94</v>
      </c>
      <c r="H62" s="45">
        <v>0.04</v>
      </c>
      <c r="I62" s="45">
        <v>0</v>
      </c>
      <c r="J62" s="45">
        <v>0</v>
      </c>
      <c r="K62" s="45">
        <v>0.44</v>
      </c>
      <c r="L62" s="45">
        <v>8</v>
      </c>
      <c r="M62" s="45">
        <v>26</v>
      </c>
      <c r="N62" s="45">
        <v>5.6</v>
      </c>
      <c r="O62" s="45">
        <v>0.44</v>
      </c>
    </row>
    <row r="63" spans="1:15" s="7" customFormat="1" ht="15.75" x14ac:dyDescent="0.25">
      <c r="A63" s="44"/>
      <c r="B63" s="44" t="s">
        <v>345</v>
      </c>
      <c r="C63" s="44"/>
      <c r="D63" s="44">
        <f>D64+D69+D77+D84+D88+D92+D93</f>
        <v>43.104999999999997</v>
      </c>
      <c r="E63" s="44">
        <f t="shared" ref="E63:O63" si="1">E64+E69+E77+E84+E88+E92+E93</f>
        <v>32.659999999999997</v>
      </c>
      <c r="F63" s="44">
        <f t="shared" si="1"/>
        <v>104.52999999999999</v>
      </c>
      <c r="G63" s="44">
        <f t="shared" si="1"/>
        <v>886.45999999999992</v>
      </c>
      <c r="H63" s="44">
        <f t="shared" si="1"/>
        <v>0.34</v>
      </c>
      <c r="I63" s="44">
        <f t="shared" si="1"/>
        <v>24.27</v>
      </c>
      <c r="J63" s="44">
        <f t="shared" si="1"/>
        <v>100.28666666666668</v>
      </c>
      <c r="K63" s="44">
        <f t="shared" si="1"/>
        <v>5.5500000000000007</v>
      </c>
      <c r="L63" s="44">
        <f t="shared" si="1"/>
        <v>114.49</v>
      </c>
      <c r="M63" s="44">
        <f t="shared" si="1"/>
        <v>389.96000000000004</v>
      </c>
      <c r="N63" s="44">
        <f t="shared" si="1"/>
        <v>97.023333333333326</v>
      </c>
      <c r="O63" s="44">
        <f t="shared" si="1"/>
        <v>8.5570000000000004</v>
      </c>
    </row>
    <row r="64" spans="1:15" s="7" customFormat="1" ht="31.5" x14ac:dyDescent="0.25">
      <c r="A64" s="45">
        <v>19</v>
      </c>
      <c r="B64" s="44" t="s">
        <v>332</v>
      </c>
      <c r="C64" s="45">
        <v>60</v>
      </c>
      <c r="D64" s="45">
        <f>0.8/100*60</f>
        <v>0.48</v>
      </c>
      <c r="E64" s="45">
        <f>6.3/100*60</f>
        <v>3.7800000000000002</v>
      </c>
      <c r="F64" s="45">
        <f>6/100*60</f>
        <v>3.5999999999999996</v>
      </c>
      <c r="G64" s="45">
        <f>83/100*60</f>
        <v>49.8</v>
      </c>
      <c r="H64" s="45">
        <f>0.05/100*60</f>
        <v>0.03</v>
      </c>
      <c r="I64" s="45">
        <f>15.5/100*60</f>
        <v>9.3000000000000007</v>
      </c>
      <c r="J64" s="45">
        <v>0</v>
      </c>
      <c r="K64" s="45">
        <f>4/100*60</f>
        <v>2.4</v>
      </c>
      <c r="L64" s="45">
        <f>15.1/100*60</f>
        <v>9.06</v>
      </c>
      <c r="M64" s="45">
        <f>19.4/100*60</f>
        <v>11.639999999999999</v>
      </c>
      <c r="N64" s="45">
        <f>14.9/100*60</f>
        <v>8.94</v>
      </c>
      <c r="O64" s="45">
        <f>1.37/100*60</f>
        <v>0.82200000000000006</v>
      </c>
    </row>
    <row r="65" spans="1:15" s="7" customFormat="1" ht="15.75" x14ac:dyDescent="0.25">
      <c r="A65" s="44"/>
      <c r="B65" s="45" t="s">
        <v>41</v>
      </c>
      <c r="C65" s="45">
        <f>6/100*60</f>
        <v>3.5999999999999996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s="7" customFormat="1" ht="15.75" x14ac:dyDescent="0.25">
      <c r="A66" s="44"/>
      <c r="B66" s="45" t="s">
        <v>47</v>
      </c>
      <c r="C66" s="45">
        <f>0.25/100*60</f>
        <v>0.15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s="7" customFormat="1" ht="15.75" x14ac:dyDescent="0.25">
      <c r="A67" s="44"/>
      <c r="B67" s="45" t="s">
        <v>333</v>
      </c>
      <c r="C67" s="45">
        <f>57/100*60</f>
        <v>34.199999999999996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s="7" customFormat="1" ht="15.75" x14ac:dyDescent="0.25">
      <c r="A68" s="44"/>
      <c r="B68" s="45" t="s">
        <v>62</v>
      </c>
      <c r="C68" s="45">
        <f>38.7/100*60</f>
        <v>23.22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ht="15.75" x14ac:dyDescent="0.25">
      <c r="A69" s="45">
        <v>111</v>
      </c>
      <c r="B69" s="44" t="s">
        <v>52</v>
      </c>
      <c r="C69" s="45">
        <v>250</v>
      </c>
      <c r="D69" s="45">
        <f>53.3/1000*250</f>
        <v>13.324999999999999</v>
      </c>
      <c r="E69" s="45">
        <v>12.82</v>
      </c>
      <c r="F69" s="45">
        <v>3.47</v>
      </c>
      <c r="G69" s="45">
        <v>182.7</v>
      </c>
      <c r="H69" s="45">
        <v>0.05</v>
      </c>
      <c r="I69" s="45">
        <v>2.85</v>
      </c>
      <c r="J69" s="45">
        <v>78.62</v>
      </c>
      <c r="K69" s="45">
        <v>0.41</v>
      </c>
      <c r="L69" s="45">
        <v>42.75</v>
      </c>
      <c r="M69" s="45">
        <v>99.62</v>
      </c>
      <c r="N69" s="45">
        <v>25.3</v>
      </c>
      <c r="O69" s="45">
        <v>1.67</v>
      </c>
    </row>
    <row r="70" spans="1:15" ht="15.75" x14ac:dyDescent="0.25">
      <c r="A70" s="45"/>
      <c r="B70" s="45" t="s">
        <v>53</v>
      </c>
      <c r="C70" s="45">
        <v>29.62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5" ht="15.75" x14ac:dyDescent="0.25">
      <c r="A71" s="45"/>
      <c r="B71" s="45" t="s">
        <v>34</v>
      </c>
      <c r="C71" s="45">
        <v>12.5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ht="15.75" x14ac:dyDescent="0.25">
      <c r="A72" s="45"/>
      <c r="B72" s="45" t="s">
        <v>23</v>
      </c>
      <c r="C72" s="45">
        <v>5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ht="15.75" x14ac:dyDescent="0.25">
      <c r="A73" s="45"/>
      <c r="B73" s="45" t="s">
        <v>54</v>
      </c>
      <c r="C73" s="45">
        <v>24.75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1:15" ht="15.75" x14ac:dyDescent="0.25">
      <c r="A74" s="45"/>
      <c r="B74" s="45" t="s">
        <v>36</v>
      </c>
      <c r="C74" s="45">
        <v>24.55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1:15" ht="15.75" x14ac:dyDescent="0.25">
      <c r="A75" s="45"/>
      <c r="B75" s="45" t="s">
        <v>55</v>
      </c>
      <c r="C75" s="45">
        <v>5.17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ht="15.75" x14ac:dyDescent="0.25">
      <c r="A76" s="45"/>
      <c r="B76" s="45" t="s">
        <v>40</v>
      </c>
      <c r="C76" s="45">
        <v>225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ht="15.75" x14ac:dyDescent="0.25">
      <c r="A77" s="45">
        <v>327</v>
      </c>
      <c r="B77" s="44" t="s">
        <v>56</v>
      </c>
      <c r="C77" s="45">
        <v>100</v>
      </c>
      <c r="D77" s="45">
        <v>15.58</v>
      </c>
      <c r="E77" s="45">
        <v>14.16</v>
      </c>
      <c r="F77" s="45">
        <f>4.2/120*100</f>
        <v>3.5000000000000004</v>
      </c>
      <c r="G77" s="45">
        <v>204.16</v>
      </c>
      <c r="H77" s="45">
        <v>0.03</v>
      </c>
      <c r="I77" s="45">
        <f>0.6/120*100</f>
        <v>0.5</v>
      </c>
      <c r="J77" s="45">
        <f>26/120*100</f>
        <v>21.666666666666668</v>
      </c>
      <c r="K77" s="45">
        <v>0.57999999999999996</v>
      </c>
      <c r="L77" s="45">
        <v>14.08</v>
      </c>
      <c r="M77" s="45">
        <v>129.9</v>
      </c>
      <c r="N77" s="45">
        <f>23.5/120*100</f>
        <v>19.583333333333332</v>
      </c>
      <c r="O77" s="45">
        <f>2.67/120*100</f>
        <v>2.2250000000000001</v>
      </c>
    </row>
    <row r="78" spans="1:15" ht="15.75" x14ac:dyDescent="0.25">
      <c r="A78" s="45"/>
      <c r="B78" s="45" t="s">
        <v>57</v>
      </c>
      <c r="C78" s="45">
        <f>111/120*100</f>
        <v>92.5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ht="15.75" x14ac:dyDescent="0.25">
      <c r="A79" s="45"/>
      <c r="B79" s="45" t="s">
        <v>34</v>
      </c>
      <c r="C79" s="45">
        <v>9.16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ht="15.75" x14ac:dyDescent="0.25">
      <c r="A80" s="45"/>
      <c r="B80" s="45" t="s">
        <v>47</v>
      </c>
      <c r="C80" s="45">
        <v>0.41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9" ht="15.75" x14ac:dyDescent="0.25">
      <c r="A81" s="45"/>
      <c r="B81" s="45" t="s">
        <v>23</v>
      </c>
      <c r="C81" s="45">
        <v>5.41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9" ht="15.75" x14ac:dyDescent="0.25">
      <c r="A82" s="45"/>
      <c r="B82" s="45" t="s">
        <v>46</v>
      </c>
      <c r="C82" s="45">
        <v>3.08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1:19" ht="15.75" x14ac:dyDescent="0.25">
      <c r="A83" s="45"/>
      <c r="B83" s="45" t="s">
        <v>36</v>
      </c>
      <c r="C83" s="45">
        <v>11.83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1:19" ht="31.5" x14ac:dyDescent="0.25">
      <c r="A84" s="45">
        <v>256</v>
      </c>
      <c r="B84" s="44" t="s">
        <v>59</v>
      </c>
      <c r="C84" s="45">
        <v>150</v>
      </c>
      <c r="D84" s="45">
        <v>7.54</v>
      </c>
      <c r="E84" s="45">
        <v>0.9</v>
      </c>
      <c r="F84" s="45">
        <v>38.72</v>
      </c>
      <c r="G84" s="45">
        <v>193.2</v>
      </c>
      <c r="H84" s="45">
        <v>0.08</v>
      </c>
      <c r="I84" s="45">
        <v>0.02</v>
      </c>
      <c r="J84" s="45">
        <v>0</v>
      </c>
      <c r="K84" s="46">
        <v>1.06</v>
      </c>
      <c r="L84" s="45">
        <v>7.6</v>
      </c>
      <c r="M84" s="45">
        <v>47.6</v>
      </c>
      <c r="N84" s="45">
        <v>10.8</v>
      </c>
      <c r="O84" s="45">
        <v>1.04</v>
      </c>
    </row>
    <row r="85" spans="1:19" ht="15.75" x14ac:dyDescent="0.25">
      <c r="A85" s="45"/>
      <c r="B85" s="45" t="s">
        <v>47</v>
      </c>
      <c r="C85" s="45">
        <v>2.5499999999999998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9" ht="15.75" x14ac:dyDescent="0.25">
      <c r="A86" s="45"/>
      <c r="B86" s="45" t="s">
        <v>23</v>
      </c>
      <c r="C86" s="45">
        <v>6.75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9" ht="15.75" x14ac:dyDescent="0.25">
      <c r="A87" s="45"/>
      <c r="B87" s="45" t="s">
        <v>60</v>
      </c>
      <c r="C87" s="45">
        <v>51.05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1:19" ht="31.5" x14ac:dyDescent="0.25">
      <c r="A88" s="45">
        <v>488</v>
      </c>
      <c r="B88" s="44" t="s">
        <v>61</v>
      </c>
      <c r="C88" s="45">
        <v>200</v>
      </c>
      <c r="D88" s="45">
        <v>0.5</v>
      </c>
      <c r="E88" s="45">
        <v>0.2</v>
      </c>
      <c r="F88" s="45">
        <v>22.2</v>
      </c>
      <c r="G88" s="45">
        <v>93</v>
      </c>
      <c r="H88" s="45">
        <v>0.04</v>
      </c>
      <c r="I88" s="45">
        <v>11.6</v>
      </c>
      <c r="J88" s="45">
        <v>0</v>
      </c>
      <c r="K88" s="45">
        <v>0.1</v>
      </c>
      <c r="L88" s="45">
        <v>19</v>
      </c>
      <c r="M88" s="45">
        <v>12</v>
      </c>
      <c r="N88" s="45">
        <v>8</v>
      </c>
      <c r="O88" s="45">
        <v>0.8</v>
      </c>
    </row>
    <row r="89" spans="1:19" ht="15.75" x14ac:dyDescent="0.25">
      <c r="A89" s="45"/>
      <c r="B89" s="45" t="s">
        <v>62</v>
      </c>
      <c r="C89" s="45">
        <v>36.9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1:19" ht="15.75" x14ac:dyDescent="0.25">
      <c r="A90" s="45"/>
      <c r="B90" s="45" t="s">
        <v>63</v>
      </c>
      <c r="C90" s="45">
        <v>39.5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S90" s="7"/>
    </row>
    <row r="91" spans="1:19" ht="15.75" x14ac:dyDescent="0.25">
      <c r="A91" s="45"/>
      <c r="B91" s="45" t="s">
        <v>22</v>
      </c>
      <c r="C91" s="45">
        <v>10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S91" s="7"/>
    </row>
    <row r="92" spans="1:19" ht="15.75" x14ac:dyDescent="0.25">
      <c r="A92" s="45"/>
      <c r="B92" s="44" t="s">
        <v>27</v>
      </c>
      <c r="C92" s="45">
        <v>40</v>
      </c>
      <c r="D92" s="45">
        <v>3.04</v>
      </c>
      <c r="E92" s="45">
        <v>0.32</v>
      </c>
      <c r="F92" s="45">
        <v>19.68</v>
      </c>
      <c r="G92" s="45">
        <v>94</v>
      </c>
      <c r="H92" s="45">
        <v>0.04</v>
      </c>
      <c r="I92" s="45">
        <v>0</v>
      </c>
      <c r="J92" s="45">
        <v>0</v>
      </c>
      <c r="K92" s="45">
        <v>0.44</v>
      </c>
      <c r="L92" s="45">
        <v>8</v>
      </c>
      <c r="M92" s="45">
        <v>26</v>
      </c>
      <c r="N92" s="45">
        <v>5.6</v>
      </c>
      <c r="O92" s="45">
        <v>0.44</v>
      </c>
    </row>
    <row r="93" spans="1:19" ht="15.75" x14ac:dyDescent="0.25">
      <c r="A93" s="45"/>
      <c r="B93" s="44" t="s">
        <v>30</v>
      </c>
      <c r="C93" s="45">
        <v>30</v>
      </c>
      <c r="D93" s="45">
        <v>2.64</v>
      </c>
      <c r="E93" s="45">
        <v>0.48</v>
      </c>
      <c r="F93" s="45">
        <v>13.36</v>
      </c>
      <c r="G93" s="45">
        <v>69.599999999999994</v>
      </c>
      <c r="H93" s="45">
        <v>7.0000000000000007E-2</v>
      </c>
      <c r="I93" s="45">
        <v>0</v>
      </c>
      <c r="J93" s="45">
        <v>0</v>
      </c>
      <c r="K93" s="45">
        <v>0.56000000000000005</v>
      </c>
      <c r="L93" s="45">
        <v>14</v>
      </c>
      <c r="M93" s="45">
        <v>63.2</v>
      </c>
      <c r="N93" s="45">
        <v>18.8</v>
      </c>
      <c r="O93" s="45">
        <v>1.56</v>
      </c>
    </row>
    <row r="94" spans="1:19" s="7" customFormat="1" ht="15.75" x14ac:dyDescent="0.25">
      <c r="A94" s="44"/>
      <c r="B94" s="44" t="s">
        <v>346</v>
      </c>
      <c r="C94" s="44"/>
      <c r="D94" s="44">
        <f>D95+D96</f>
        <v>7.57</v>
      </c>
      <c r="E94" s="44">
        <f t="shared" ref="E94:O94" si="2">E95+E96</f>
        <v>6.41</v>
      </c>
      <c r="F94" s="44">
        <f t="shared" si="2"/>
        <v>32.1</v>
      </c>
      <c r="G94" s="44">
        <f t="shared" si="2"/>
        <v>215.8</v>
      </c>
      <c r="H94" s="44">
        <f t="shared" si="2"/>
        <v>0.1</v>
      </c>
      <c r="I94" s="44">
        <f t="shared" si="2"/>
        <v>2.6</v>
      </c>
      <c r="J94" s="44">
        <f t="shared" si="2"/>
        <v>0.04</v>
      </c>
      <c r="K94" s="44">
        <f t="shared" si="2"/>
        <v>0.72</v>
      </c>
      <c r="L94" s="44">
        <f t="shared" si="2"/>
        <v>243.3</v>
      </c>
      <c r="M94" s="44">
        <f t="shared" si="2"/>
        <v>195</v>
      </c>
      <c r="N94" s="44">
        <f t="shared" si="2"/>
        <v>30.7</v>
      </c>
      <c r="O94" s="44">
        <f t="shared" si="2"/>
        <v>0.44</v>
      </c>
    </row>
    <row r="95" spans="1:19" ht="15.75" x14ac:dyDescent="0.25">
      <c r="A95" s="45"/>
      <c r="B95" s="44" t="s">
        <v>64</v>
      </c>
      <c r="C95" s="45">
        <v>30</v>
      </c>
      <c r="D95" s="45">
        <v>1.77</v>
      </c>
      <c r="E95" s="45">
        <v>1.41</v>
      </c>
      <c r="F95" s="45">
        <v>22.5</v>
      </c>
      <c r="G95" s="45">
        <v>109.8</v>
      </c>
      <c r="H95" s="45">
        <v>0.02</v>
      </c>
      <c r="I95" s="45">
        <v>0</v>
      </c>
      <c r="J95" s="45">
        <v>0</v>
      </c>
      <c r="K95" s="45">
        <v>0.72</v>
      </c>
      <c r="L95" s="45">
        <v>3.3</v>
      </c>
      <c r="M95" s="45">
        <v>15</v>
      </c>
      <c r="N95" s="45">
        <v>2.7</v>
      </c>
      <c r="O95" s="45">
        <v>0.24</v>
      </c>
    </row>
    <row r="96" spans="1:19" ht="15.75" x14ac:dyDescent="0.25">
      <c r="A96" s="45"/>
      <c r="B96" s="44" t="s">
        <v>65</v>
      </c>
      <c r="C96" s="45">
        <v>200</v>
      </c>
      <c r="D96" s="45">
        <v>5.8</v>
      </c>
      <c r="E96" s="45">
        <v>5</v>
      </c>
      <c r="F96" s="45">
        <v>9.6</v>
      </c>
      <c r="G96" s="45">
        <v>106</v>
      </c>
      <c r="H96" s="45">
        <v>0.08</v>
      </c>
      <c r="I96" s="45">
        <v>2.6</v>
      </c>
      <c r="J96" s="45">
        <v>0.04</v>
      </c>
      <c r="K96" s="45">
        <v>0</v>
      </c>
      <c r="L96" s="45">
        <v>240</v>
      </c>
      <c r="M96" s="45">
        <v>180</v>
      </c>
      <c r="N96" s="45">
        <v>28</v>
      </c>
      <c r="O96" s="45">
        <v>0.2</v>
      </c>
    </row>
    <row r="97" spans="1:15" s="7" customFormat="1" ht="15.75" x14ac:dyDescent="0.25">
      <c r="A97" s="44"/>
      <c r="B97" s="44" t="s">
        <v>66</v>
      </c>
      <c r="C97" s="44"/>
      <c r="D97" s="44">
        <f t="shared" ref="D97:O97" si="3">D94+D63+D27+D10</f>
        <v>105.59499999999998</v>
      </c>
      <c r="E97" s="44">
        <f t="shared" si="3"/>
        <v>92.821999999999989</v>
      </c>
      <c r="F97" s="44">
        <f t="shared" si="3"/>
        <v>338.09999999999997</v>
      </c>
      <c r="G97" s="44">
        <f t="shared" si="3"/>
        <v>2589.42</v>
      </c>
      <c r="H97" s="44">
        <f t="shared" si="3"/>
        <v>1.2146666666666668</v>
      </c>
      <c r="I97" s="44">
        <f t="shared" si="3"/>
        <v>62.16</v>
      </c>
      <c r="J97" s="44">
        <f t="shared" si="3"/>
        <v>233.42666666666668</v>
      </c>
      <c r="K97" s="44">
        <f t="shared" si="3"/>
        <v>10.450000000000001</v>
      </c>
      <c r="L97" s="44">
        <f t="shared" si="3"/>
        <v>979.92000000000007</v>
      </c>
      <c r="M97" s="44">
        <f t="shared" si="3"/>
        <v>1556.2479999999998</v>
      </c>
      <c r="N97" s="44">
        <f t="shared" si="3"/>
        <v>449.29333333333335</v>
      </c>
      <c r="O97" s="44">
        <f t="shared" si="3"/>
        <v>23.370999999999999</v>
      </c>
    </row>
    <row r="98" spans="1:15" ht="15.75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1:15" ht="18" x14ac:dyDescent="0.25">
      <c r="A99" s="1" t="s">
        <v>101</v>
      </c>
    </row>
    <row r="101" spans="1:15" ht="15.75" x14ac:dyDescent="0.25">
      <c r="A101" s="2" t="s">
        <v>19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</row>
    <row r="102" spans="1:15" ht="15" x14ac:dyDescent="0.2">
      <c r="A102" s="62" t="s">
        <v>17</v>
      </c>
      <c r="B102" s="61" t="s">
        <v>0</v>
      </c>
      <c r="C102" s="61" t="s">
        <v>1</v>
      </c>
      <c r="D102" s="63" t="s">
        <v>9</v>
      </c>
      <c r="E102" s="64"/>
      <c r="F102" s="65"/>
      <c r="G102" s="61" t="s">
        <v>10</v>
      </c>
      <c r="H102" s="61" t="s">
        <v>7</v>
      </c>
      <c r="I102" s="61"/>
      <c r="J102" s="61"/>
      <c r="K102" s="61"/>
      <c r="L102" s="61" t="s">
        <v>8</v>
      </c>
      <c r="M102" s="61"/>
      <c r="N102" s="61"/>
      <c r="O102" s="61"/>
    </row>
    <row r="103" spans="1:15" ht="30" x14ac:dyDescent="0.2">
      <c r="A103" s="62"/>
      <c r="B103" s="61"/>
      <c r="C103" s="61"/>
      <c r="D103" s="41" t="s">
        <v>2</v>
      </c>
      <c r="E103" s="42" t="s">
        <v>3</v>
      </c>
      <c r="F103" s="42" t="s">
        <v>4</v>
      </c>
      <c r="G103" s="61"/>
      <c r="H103" s="42" t="s">
        <v>11</v>
      </c>
      <c r="I103" s="42" t="s">
        <v>12</v>
      </c>
      <c r="J103" s="42" t="s">
        <v>13</v>
      </c>
      <c r="K103" s="42" t="s">
        <v>5</v>
      </c>
      <c r="L103" s="43" t="s">
        <v>14</v>
      </c>
      <c r="M103" s="42" t="s">
        <v>15</v>
      </c>
      <c r="N103" s="42" t="s">
        <v>6</v>
      </c>
      <c r="O103" s="42" t="s">
        <v>16</v>
      </c>
    </row>
    <row r="104" spans="1:15" s="7" customFormat="1" ht="15.75" x14ac:dyDescent="0.25">
      <c r="A104" s="44"/>
      <c r="B104" s="44" t="s">
        <v>366</v>
      </c>
      <c r="C104" s="44"/>
      <c r="D104" s="44">
        <f>11.38+3.69+0.1+3.04+2.64+0.8</f>
        <v>21.650000000000002</v>
      </c>
      <c r="E104" s="44">
        <f>11.14+6.08+0+0.32+0.48+0.8</f>
        <v>18.82</v>
      </c>
      <c r="F104" s="44">
        <f>3.78+33.81+15+19.68+13.36+19.6</f>
        <v>105.23000000000002</v>
      </c>
      <c r="G104" s="44">
        <f t="shared" ref="G104:O104" si="4">G105+G115+G119+G122+G123+G124</f>
        <v>591.4</v>
      </c>
      <c r="H104" s="44">
        <f t="shared" si="4"/>
        <v>0.22</v>
      </c>
      <c r="I104" s="44">
        <f t="shared" si="4"/>
        <v>0.84</v>
      </c>
      <c r="J104" s="44">
        <f t="shared" si="4"/>
        <v>7.0000000000000007E-2</v>
      </c>
      <c r="K104" s="44">
        <f t="shared" si="4"/>
        <v>1.8599999999999999</v>
      </c>
      <c r="L104" s="44">
        <f t="shared" si="4"/>
        <v>111.11999999999999</v>
      </c>
      <c r="M104" s="44">
        <f t="shared" si="4"/>
        <v>313.8</v>
      </c>
      <c r="N104" s="44">
        <f t="shared" si="4"/>
        <v>68.650000000000006</v>
      </c>
      <c r="O104" s="44">
        <f t="shared" si="4"/>
        <v>3.25</v>
      </c>
    </row>
    <row r="105" spans="1:15" ht="31.5" x14ac:dyDescent="0.25">
      <c r="A105" s="45">
        <v>298</v>
      </c>
      <c r="B105" s="44" t="s">
        <v>67</v>
      </c>
      <c r="C105" s="45">
        <v>120</v>
      </c>
      <c r="D105" s="45">
        <v>11.83</v>
      </c>
      <c r="E105" s="45">
        <v>11.14</v>
      </c>
      <c r="F105" s="45">
        <v>3.78</v>
      </c>
      <c r="G105" s="45">
        <v>163.19999999999999</v>
      </c>
      <c r="H105" s="45">
        <v>0.08</v>
      </c>
      <c r="I105" s="45">
        <v>0.84</v>
      </c>
      <c r="J105" s="45">
        <v>0.02</v>
      </c>
      <c r="K105" s="45">
        <v>0.56999999999999995</v>
      </c>
      <c r="L105" s="45">
        <v>73.02</v>
      </c>
      <c r="M105" s="45">
        <v>150.80000000000001</v>
      </c>
      <c r="N105" s="45">
        <v>20.45</v>
      </c>
      <c r="O105" s="45">
        <v>0.42</v>
      </c>
    </row>
    <row r="106" spans="1:15" ht="15.75" x14ac:dyDescent="0.25">
      <c r="A106" s="45"/>
      <c r="B106" s="45" t="s">
        <v>283</v>
      </c>
      <c r="C106" s="45">
        <v>72.599999999999994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1:15" ht="15.75" x14ac:dyDescent="0.25">
      <c r="A107" s="45"/>
      <c r="B107" s="45" t="s">
        <v>37</v>
      </c>
      <c r="C107" s="45">
        <v>21.48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ht="15.75" x14ac:dyDescent="0.25">
      <c r="A108" s="45"/>
      <c r="B108" s="45" t="s">
        <v>47</v>
      </c>
      <c r="C108" s="45">
        <v>1.5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1:15" ht="15.75" x14ac:dyDescent="0.25">
      <c r="A109" s="45"/>
      <c r="B109" s="45" t="s">
        <v>36</v>
      </c>
      <c r="C109" s="45">
        <v>12.06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1:15" ht="15.75" x14ac:dyDescent="0.25">
      <c r="A110" s="45"/>
      <c r="B110" s="45" t="s">
        <v>41</v>
      </c>
      <c r="C110" s="45">
        <v>1.2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1:15" ht="15.75" x14ac:dyDescent="0.25">
      <c r="A111" s="45"/>
      <c r="B111" s="45" t="s">
        <v>35</v>
      </c>
      <c r="C111" s="45">
        <v>25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1:15" ht="15.75" x14ac:dyDescent="0.25">
      <c r="A112" s="45"/>
      <c r="B112" s="45" t="s">
        <v>47</v>
      </c>
      <c r="C112" s="45">
        <v>1.2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1:15" ht="15.75" x14ac:dyDescent="0.25">
      <c r="A113" s="45"/>
      <c r="B113" s="45" t="s">
        <v>46</v>
      </c>
      <c r="C113" s="45">
        <v>1.25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1:15" ht="15.75" x14ac:dyDescent="0.25">
      <c r="A114" s="45"/>
      <c r="B114" s="45" t="s">
        <v>23</v>
      </c>
      <c r="C114" s="45">
        <v>1.25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1:15" ht="15.75" x14ac:dyDescent="0.25">
      <c r="A115" s="45">
        <v>385</v>
      </c>
      <c r="B115" s="44" t="s">
        <v>69</v>
      </c>
      <c r="C115" s="45">
        <v>150</v>
      </c>
      <c r="D115" s="45">
        <v>3.69</v>
      </c>
      <c r="E115" s="45">
        <v>6.08</v>
      </c>
      <c r="F115" s="45">
        <v>33.81</v>
      </c>
      <c r="G115" s="45">
        <v>204.6</v>
      </c>
      <c r="H115" s="45">
        <v>0.03</v>
      </c>
      <c r="I115" s="45">
        <v>0</v>
      </c>
      <c r="J115" s="45">
        <v>0.05</v>
      </c>
      <c r="K115" s="45">
        <v>0.28999999999999998</v>
      </c>
      <c r="L115" s="45">
        <v>5.0999999999999996</v>
      </c>
      <c r="M115" s="45">
        <v>70.8</v>
      </c>
      <c r="N115" s="45">
        <v>22.8</v>
      </c>
      <c r="O115" s="45">
        <v>0.53</v>
      </c>
    </row>
    <row r="116" spans="1:15" ht="15.75" x14ac:dyDescent="0.25">
      <c r="A116" s="45"/>
      <c r="B116" s="45" t="s">
        <v>44</v>
      </c>
      <c r="C116" s="45">
        <v>50.91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1:15" ht="15.75" x14ac:dyDescent="0.25">
      <c r="A117" s="45"/>
      <c r="B117" s="45" t="s">
        <v>23</v>
      </c>
      <c r="C117" s="45">
        <v>6.4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5" ht="15.75" x14ac:dyDescent="0.25">
      <c r="A118" s="45"/>
      <c r="B118" s="45" t="s">
        <v>47</v>
      </c>
      <c r="C118" s="45">
        <v>0.35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5" ht="15.75" x14ac:dyDescent="0.25">
      <c r="A119" s="45">
        <v>457</v>
      </c>
      <c r="B119" s="44" t="s">
        <v>70</v>
      </c>
      <c r="C119" s="45">
        <v>200</v>
      </c>
      <c r="D119" s="45">
        <v>0.1</v>
      </c>
      <c r="E119" s="45">
        <v>0</v>
      </c>
      <c r="F119" s="45">
        <v>15</v>
      </c>
      <c r="G119" s="45">
        <v>60</v>
      </c>
      <c r="H119" s="45">
        <v>0</v>
      </c>
      <c r="I119" s="45">
        <v>0</v>
      </c>
      <c r="J119" s="45">
        <v>0</v>
      </c>
      <c r="K119" s="45">
        <v>0</v>
      </c>
      <c r="L119" s="45">
        <v>11</v>
      </c>
      <c r="M119" s="45">
        <v>3</v>
      </c>
      <c r="N119" s="45">
        <v>1</v>
      </c>
      <c r="O119" s="45">
        <v>0.3</v>
      </c>
    </row>
    <row r="120" spans="1:15" ht="15.75" x14ac:dyDescent="0.25">
      <c r="A120" s="45"/>
      <c r="B120" s="45" t="s">
        <v>22</v>
      </c>
      <c r="C120" s="45">
        <v>10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5" ht="15.75" x14ac:dyDescent="0.25">
      <c r="A121" s="45"/>
      <c r="B121" s="45" t="s">
        <v>71</v>
      </c>
      <c r="C121" s="45">
        <v>1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5" ht="15.75" x14ac:dyDescent="0.25">
      <c r="A122" s="45"/>
      <c r="B122" s="45" t="s">
        <v>341</v>
      </c>
      <c r="C122" s="45">
        <v>40</v>
      </c>
      <c r="D122" s="45">
        <v>3.04</v>
      </c>
      <c r="E122" s="45">
        <v>0.32</v>
      </c>
      <c r="F122" s="45">
        <v>19.68</v>
      </c>
      <c r="G122" s="45">
        <v>94</v>
      </c>
      <c r="H122" s="45">
        <v>0.04</v>
      </c>
      <c r="I122" s="45">
        <v>0</v>
      </c>
      <c r="J122" s="45">
        <v>0</v>
      </c>
      <c r="K122" s="45">
        <v>0.44</v>
      </c>
      <c r="L122" s="45">
        <v>8</v>
      </c>
      <c r="M122" s="45">
        <v>26</v>
      </c>
      <c r="N122" s="45">
        <v>5.6</v>
      </c>
      <c r="O122" s="45">
        <v>0.44</v>
      </c>
    </row>
    <row r="123" spans="1:15" ht="15.75" x14ac:dyDescent="0.25">
      <c r="A123" s="45"/>
      <c r="B123" s="44" t="s">
        <v>73</v>
      </c>
      <c r="C123" s="45">
        <v>30</v>
      </c>
      <c r="D123" s="45">
        <v>2.64</v>
      </c>
      <c r="E123" s="45">
        <v>0.48</v>
      </c>
      <c r="F123" s="45">
        <v>13.36</v>
      </c>
      <c r="G123" s="45">
        <v>69.599999999999994</v>
      </c>
      <c r="H123" s="45">
        <v>7.0000000000000007E-2</v>
      </c>
      <c r="I123" s="45">
        <v>0</v>
      </c>
      <c r="J123" s="45">
        <v>0</v>
      </c>
      <c r="K123" s="45">
        <v>0.56000000000000005</v>
      </c>
      <c r="L123" s="45">
        <v>14</v>
      </c>
      <c r="M123" s="45">
        <v>63.2</v>
      </c>
      <c r="N123" s="45">
        <v>18.8</v>
      </c>
      <c r="O123" s="45">
        <v>1.56</v>
      </c>
    </row>
    <row r="124" spans="1:15" ht="15.75" x14ac:dyDescent="0.25">
      <c r="A124" s="45">
        <v>82</v>
      </c>
      <c r="B124" s="44" t="s">
        <v>74</v>
      </c>
      <c r="C124" s="45">
        <v>150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5" s="7" customFormat="1" ht="15.75" x14ac:dyDescent="0.25">
      <c r="A125" s="44"/>
      <c r="B125" s="44" t="s">
        <v>368</v>
      </c>
      <c r="C125" s="44"/>
      <c r="D125" s="44">
        <f>D126+D142+D134+D148+D151+D152</f>
        <v>31.64</v>
      </c>
      <c r="E125" s="44">
        <f t="shared" ref="E125:O125" si="5">E126+E134+E142+E148+E151+E152</f>
        <v>32.699999999999996</v>
      </c>
      <c r="F125" s="44">
        <f t="shared" si="5"/>
        <v>81.649999999999991</v>
      </c>
      <c r="G125" s="44">
        <f t="shared" si="5"/>
        <v>750.35</v>
      </c>
      <c r="H125" s="44">
        <f t="shared" si="5"/>
        <v>0.31000000000000005</v>
      </c>
      <c r="I125" s="44">
        <f t="shared" si="5"/>
        <v>95.64</v>
      </c>
      <c r="J125" s="44">
        <f t="shared" si="5"/>
        <v>0</v>
      </c>
      <c r="K125" s="44">
        <f t="shared" si="5"/>
        <v>8.9400000000000013</v>
      </c>
      <c r="L125" s="44">
        <f t="shared" si="5"/>
        <v>118.97</v>
      </c>
      <c r="M125" s="44">
        <f t="shared" si="5"/>
        <v>431.31</v>
      </c>
      <c r="N125" s="44">
        <f t="shared" si="5"/>
        <v>115.47999999999999</v>
      </c>
      <c r="O125" s="44">
        <f t="shared" si="5"/>
        <v>8.7000000000000011</v>
      </c>
    </row>
    <row r="126" spans="1:15" ht="15.75" x14ac:dyDescent="0.25">
      <c r="A126" s="45">
        <v>54</v>
      </c>
      <c r="B126" s="44" t="s">
        <v>75</v>
      </c>
      <c r="C126" s="45">
        <v>60</v>
      </c>
      <c r="D126" s="45">
        <v>1.26</v>
      </c>
      <c r="E126" s="45">
        <v>3.3</v>
      </c>
      <c r="F126" s="45">
        <v>5.58</v>
      </c>
      <c r="G126" s="45">
        <v>57</v>
      </c>
      <c r="H126" s="45">
        <v>0.03</v>
      </c>
      <c r="I126" s="45">
        <v>3.36</v>
      </c>
      <c r="J126" s="45">
        <v>0</v>
      </c>
      <c r="K126" s="45">
        <v>1.86</v>
      </c>
      <c r="L126" s="45">
        <v>17.52</v>
      </c>
      <c r="M126" s="45">
        <v>38.159999999999997</v>
      </c>
      <c r="N126" s="45">
        <v>22.68</v>
      </c>
      <c r="O126" s="45">
        <v>0.65</v>
      </c>
    </row>
    <row r="127" spans="1:15" ht="15.75" x14ac:dyDescent="0.25">
      <c r="A127" s="45"/>
      <c r="B127" s="45" t="s">
        <v>42</v>
      </c>
      <c r="C127" s="45">
        <v>12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5" ht="15.75" x14ac:dyDescent="0.25">
      <c r="A128" s="45"/>
      <c r="B128" s="45" t="s">
        <v>36</v>
      </c>
      <c r="C128" s="45">
        <v>10.56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ht="15.75" x14ac:dyDescent="0.25">
      <c r="A129" s="45"/>
      <c r="B129" s="45" t="s">
        <v>41</v>
      </c>
      <c r="C129" s="45">
        <v>3.6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ht="15.75" x14ac:dyDescent="0.25">
      <c r="A130" s="45"/>
      <c r="B130" s="45" t="s">
        <v>34</v>
      </c>
      <c r="C130" s="45">
        <v>16.8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ht="15.75" x14ac:dyDescent="0.25">
      <c r="A131" s="45"/>
      <c r="B131" s="45" t="s">
        <v>22</v>
      </c>
      <c r="C131" s="45">
        <v>0.72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1:15" ht="15.75" x14ac:dyDescent="0.25">
      <c r="A132" s="45"/>
      <c r="B132" s="45" t="s">
        <v>37</v>
      </c>
      <c r="C132" s="45">
        <v>43.98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1:15" ht="15.75" x14ac:dyDescent="0.25">
      <c r="A133" s="45"/>
      <c r="B133" s="45" t="s">
        <v>47</v>
      </c>
      <c r="C133" s="45">
        <v>0.15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1:15" ht="15.75" x14ac:dyDescent="0.25">
      <c r="A134" s="45">
        <v>104</v>
      </c>
      <c r="B134" s="44" t="s">
        <v>76</v>
      </c>
      <c r="C134" s="45">
        <v>250</v>
      </c>
      <c r="D134" s="45">
        <v>1.6</v>
      </c>
      <c r="E134" s="45">
        <v>4.8</v>
      </c>
      <c r="F134" s="45">
        <v>6.23</v>
      </c>
      <c r="G134" s="45">
        <v>75.75</v>
      </c>
      <c r="H134" s="45">
        <v>0.03</v>
      </c>
      <c r="I134" s="45">
        <v>18.38</v>
      </c>
      <c r="J134" s="45">
        <v>0</v>
      </c>
      <c r="K134" s="45">
        <v>2.38</v>
      </c>
      <c r="L134" s="45">
        <v>40.25</v>
      </c>
      <c r="M134" s="45">
        <v>36.25</v>
      </c>
      <c r="N134" s="45">
        <v>17.5</v>
      </c>
      <c r="O134" s="45">
        <v>0.63</v>
      </c>
    </row>
    <row r="135" spans="1:15" ht="15.75" x14ac:dyDescent="0.25">
      <c r="A135" s="45"/>
      <c r="B135" s="45" t="s">
        <v>34</v>
      </c>
      <c r="C135" s="45">
        <v>2.5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1:15" ht="15.75" x14ac:dyDescent="0.25">
      <c r="A136" s="45"/>
      <c r="B136" s="45" t="s">
        <v>36</v>
      </c>
      <c r="C136" s="45">
        <v>10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1:15" ht="15.75" x14ac:dyDescent="0.25">
      <c r="A137" s="45"/>
      <c r="B137" s="45" t="s">
        <v>37</v>
      </c>
      <c r="C137" s="45">
        <v>2.75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1:15" ht="15.75" x14ac:dyDescent="0.25">
      <c r="A138" s="45"/>
      <c r="B138" s="45" t="s">
        <v>35</v>
      </c>
      <c r="C138" s="45">
        <v>12.5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1:15" ht="15.75" x14ac:dyDescent="0.25">
      <c r="A139" s="45"/>
      <c r="B139" s="45" t="s">
        <v>38</v>
      </c>
      <c r="C139" s="45">
        <v>40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1:15" ht="15.75" x14ac:dyDescent="0.25">
      <c r="A140" s="45"/>
      <c r="B140" s="45" t="s">
        <v>77</v>
      </c>
      <c r="C140" s="45">
        <v>25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1:15" ht="15.75" x14ac:dyDescent="0.25">
      <c r="A141" s="45"/>
      <c r="B141" s="45" t="s">
        <v>41</v>
      </c>
      <c r="C141" s="45">
        <v>5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1:15" ht="15.75" x14ac:dyDescent="0.25">
      <c r="A142" s="45">
        <v>328</v>
      </c>
      <c r="B142" s="44" t="s">
        <v>78</v>
      </c>
      <c r="C142" s="45">
        <v>220</v>
      </c>
      <c r="D142" s="45">
        <v>22.4</v>
      </c>
      <c r="E142" s="45">
        <v>23.5</v>
      </c>
      <c r="F142" s="45">
        <v>14</v>
      </c>
      <c r="G142" s="45">
        <v>357</v>
      </c>
      <c r="H142" s="45">
        <v>0.14000000000000001</v>
      </c>
      <c r="I142" s="45">
        <v>3.9</v>
      </c>
      <c r="J142" s="45">
        <v>0</v>
      </c>
      <c r="K142" s="45">
        <v>3.7</v>
      </c>
      <c r="L142" s="45">
        <v>27.2</v>
      </c>
      <c r="M142" s="45">
        <v>264.7</v>
      </c>
      <c r="N142" s="45">
        <v>47.9</v>
      </c>
      <c r="O142" s="45">
        <v>3.92</v>
      </c>
    </row>
    <row r="143" spans="1:15" ht="15.75" x14ac:dyDescent="0.25">
      <c r="A143" s="45"/>
      <c r="B143" s="45" t="s">
        <v>79</v>
      </c>
      <c r="C143" s="45">
        <v>112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1:15" ht="15.75" x14ac:dyDescent="0.25">
      <c r="A144" s="45"/>
      <c r="B144" s="45" t="s">
        <v>34</v>
      </c>
      <c r="C144" s="45">
        <v>7</v>
      </c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1:15" ht="15.75" x14ac:dyDescent="0.25">
      <c r="A145" s="45"/>
      <c r="B145" s="45" t="s">
        <v>41</v>
      </c>
      <c r="C145" s="45">
        <v>7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1:15" ht="15.75" x14ac:dyDescent="0.25">
      <c r="A146" s="45"/>
      <c r="B146" s="45" t="s">
        <v>36</v>
      </c>
      <c r="C146" s="45">
        <v>13.64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1:15" ht="15.75" x14ac:dyDescent="0.25">
      <c r="A147" s="45"/>
      <c r="B147" s="45" t="s">
        <v>77</v>
      </c>
      <c r="C147" s="45">
        <v>103.64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1:15" ht="15.75" x14ac:dyDescent="0.25">
      <c r="A148" s="45">
        <v>496</v>
      </c>
      <c r="B148" s="44" t="s">
        <v>80</v>
      </c>
      <c r="C148" s="45">
        <v>200</v>
      </c>
      <c r="D148" s="45">
        <v>0.7</v>
      </c>
      <c r="E148" s="45">
        <v>0.3</v>
      </c>
      <c r="F148" s="45">
        <v>22.8</v>
      </c>
      <c r="G148" s="45">
        <v>97</v>
      </c>
      <c r="H148" s="45">
        <v>0</v>
      </c>
      <c r="I148" s="45">
        <v>70</v>
      </c>
      <c r="J148" s="45">
        <v>0</v>
      </c>
      <c r="K148" s="45">
        <v>0</v>
      </c>
      <c r="L148" s="45">
        <v>12</v>
      </c>
      <c r="M148" s="45">
        <v>3</v>
      </c>
      <c r="N148" s="45">
        <v>3</v>
      </c>
      <c r="O148" s="45">
        <v>1.5</v>
      </c>
    </row>
    <row r="149" spans="1:15" ht="15.75" x14ac:dyDescent="0.25">
      <c r="A149" s="45"/>
      <c r="B149" s="45" t="s">
        <v>81</v>
      </c>
      <c r="C149" s="45">
        <v>20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1:15" ht="15.75" x14ac:dyDescent="0.25">
      <c r="A150" s="45"/>
      <c r="B150" s="45" t="s">
        <v>22</v>
      </c>
      <c r="C150" s="45">
        <v>10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>
        <v>0.05</v>
      </c>
    </row>
    <row r="151" spans="1:15" ht="15.75" x14ac:dyDescent="0.25">
      <c r="A151" s="45"/>
      <c r="B151" s="44" t="s">
        <v>72</v>
      </c>
      <c r="C151" s="45">
        <v>40</v>
      </c>
      <c r="D151" s="45">
        <v>3.04</v>
      </c>
      <c r="E151" s="45">
        <v>0.32</v>
      </c>
      <c r="F151" s="45">
        <v>19.68</v>
      </c>
      <c r="G151" s="45">
        <v>94</v>
      </c>
      <c r="H151" s="45">
        <v>0.04</v>
      </c>
      <c r="I151" s="45">
        <v>0</v>
      </c>
      <c r="J151" s="45">
        <v>0</v>
      </c>
      <c r="K151" s="45">
        <v>0.44</v>
      </c>
      <c r="L151" s="45">
        <v>8</v>
      </c>
      <c r="M151" s="45">
        <v>26</v>
      </c>
      <c r="N151" s="45">
        <v>5.6</v>
      </c>
      <c r="O151" s="45">
        <v>0.44</v>
      </c>
    </row>
    <row r="152" spans="1:15" ht="15.75" x14ac:dyDescent="0.25">
      <c r="A152" s="45"/>
      <c r="B152" s="44" t="s">
        <v>73</v>
      </c>
      <c r="C152" s="45">
        <v>30</v>
      </c>
      <c r="D152" s="45">
        <v>2.64</v>
      </c>
      <c r="E152" s="45">
        <v>0.48</v>
      </c>
      <c r="F152" s="45">
        <v>13.36</v>
      </c>
      <c r="G152" s="45">
        <v>69.599999999999994</v>
      </c>
      <c r="H152" s="45">
        <v>7.0000000000000007E-2</v>
      </c>
      <c r="I152" s="45">
        <v>0</v>
      </c>
      <c r="J152" s="45">
        <v>0</v>
      </c>
      <c r="K152" s="45">
        <v>0.56000000000000005</v>
      </c>
      <c r="L152" s="45">
        <v>14</v>
      </c>
      <c r="M152" s="45">
        <v>63.2</v>
      </c>
      <c r="N152" s="45">
        <v>18.8</v>
      </c>
      <c r="O152" s="45">
        <v>1.56</v>
      </c>
    </row>
    <row r="153" spans="1:15" s="7" customFormat="1" ht="15.75" x14ac:dyDescent="0.25">
      <c r="A153" s="44"/>
      <c r="B153" s="44" t="s">
        <v>369</v>
      </c>
      <c r="C153" s="44"/>
      <c r="D153" s="44">
        <f>D154+D162+D169+D178+D181+D184+D185</f>
        <v>33.619999999999997</v>
      </c>
      <c r="E153" s="44">
        <f t="shared" ref="E153:O153" si="6">E154+E162+E169+E178+E181+E184+E185</f>
        <v>31.56</v>
      </c>
      <c r="F153" s="44">
        <f t="shared" si="6"/>
        <v>103.72666666666667</v>
      </c>
      <c r="G153" s="44">
        <f t="shared" si="6"/>
        <v>840.25</v>
      </c>
      <c r="H153" s="44">
        <f t="shared" si="6"/>
        <v>21.753333333333334</v>
      </c>
      <c r="I153" s="44">
        <f t="shared" si="6"/>
        <v>10.663333333333334</v>
      </c>
      <c r="J153" s="44">
        <f t="shared" si="6"/>
        <v>116.46666666666667</v>
      </c>
      <c r="K153" s="44">
        <f t="shared" si="6"/>
        <v>4.5833333333333339</v>
      </c>
      <c r="L153" s="44">
        <f t="shared" si="6"/>
        <v>141.11666666666667</v>
      </c>
      <c r="M153" s="44">
        <f t="shared" si="6"/>
        <v>466.06666666666666</v>
      </c>
      <c r="N153" s="44">
        <f t="shared" si="6"/>
        <v>117.83333333333333</v>
      </c>
      <c r="O153" s="44">
        <f t="shared" si="6"/>
        <v>7.7186666666666675</v>
      </c>
    </row>
    <row r="154" spans="1:15" ht="15.75" x14ac:dyDescent="0.25">
      <c r="A154" s="45">
        <v>2</v>
      </c>
      <c r="B154" s="44" t="s">
        <v>82</v>
      </c>
      <c r="C154" s="45">
        <v>60</v>
      </c>
      <c r="D154" s="46">
        <v>0.78</v>
      </c>
      <c r="E154" s="45">
        <v>3.72</v>
      </c>
      <c r="F154" s="45">
        <v>3.66</v>
      </c>
      <c r="G154" s="45">
        <v>51</v>
      </c>
      <c r="H154" s="45">
        <f>35.5/100*60</f>
        <v>21.299999999999997</v>
      </c>
      <c r="I154" s="45">
        <f>13.3/100*60</f>
        <v>7.98</v>
      </c>
      <c r="J154" s="45">
        <v>0</v>
      </c>
      <c r="K154" s="45">
        <f>2.9/100*60</f>
        <v>1.7399999999999998</v>
      </c>
      <c r="L154" s="45">
        <f>35.5/100*60</f>
        <v>21.299999999999997</v>
      </c>
      <c r="M154" s="45">
        <f>32.6/100*60</f>
        <v>19.560000000000002</v>
      </c>
      <c r="N154" s="45">
        <f>20.5/100*60</f>
        <v>12.299999999999999</v>
      </c>
      <c r="O154" s="45">
        <f>1.02/100*60</f>
        <v>0.6120000000000001</v>
      </c>
    </row>
    <row r="155" spans="1:15" ht="15.75" x14ac:dyDescent="0.25">
      <c r="A155" s="45"/>
      <c r="B155" s="45" t="s">
        <v>74</v>
      </c>
      <c r="C155" s="45">
        <v>14.76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1:15" ht="15.75" x14ac:dyDescent="0.25">
      <c r="A156" s="45"/>
      <c r="B156" s="45" t="s">
        <v>47</v>
      </c>
      <c r="C156" s="45">
        <v>0.25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1:15" ht="15.75" x14ac:dyDescent="0.25">
      <c r="A157" s="45"/>
      <c r="B157" s="45" t="s">
        <v>37</v>
      </c>
      <c r="C157" s="45">
        <v>16.38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ht="15.75" x14ac:dyDescent="0.25">
      <c r="A158" s="45"/>
      <c r="B158" s="45" t="s">
        <v>47</v>
      </c>
      <c r="C158" s="45">
        <v>0.15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1:15" ht="15.75" x14ac:dyDescent="0.25">
      <c r="A159" s="45"/>
      <c r="B159" s="45" t="s">
        <v>38</v>
      </c>
      <c r="C159" s="45">
        <v>30.24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1:15" ht="15.75" x14ac:dyDescent="0.25">
      <c r="A160" s="45"/>
      <c r="B160" s="45" t="s">
        <v>42</v>
      </c>
      <c r="C160" s="45">
        <v>3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1:15" ht="15.75" x14ac:dyDescent="0.25">
      <c r="A161" s="45"/>
      <c r="B161" s="45" t="s">
        <v>41</v>
      </c>
      <c r="C161" s="45">
        <v>3.6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1:15" ht="15.75" x14ac:dyDescent="0.25">
      <c r="A162" s="45">
        <v>128</v>
      </c>
      <c r="B162" s="44" t="s">
        <v>295</v>
      </c>
      <c r="C162" s="45">
        <v>250</v>
      </c>
      <c r="D162" s="45">
        <v>7.47</v>
      </c>
      <c r="E162" s="45">
        <v>3.67</v>
      </c>
      <c r="F162" s="45">
        <f>64.8/1000*250</f>
        <v>16.2</v>
      </c>
      <c r="G162" s="45">
        <f>511/1000*250</f>
        <v>127.75</v>
      </c>
      <c r="H162" s="45">
        <f>1.04/1000*250</f>
        <v>0.26</v>
      </c>
      <c r="I162" s="45">
        <f>2/1000*250</f>
        <v>0.5</v>
      </c>
      <c r="J162" s="45">
        <f>80/1000*250</f>
        <v>20</v>
      </c>
      <c r="K162" s="45">
        <f>1.2/1000*250</f>
        <v>0.3</v>
      </c>
      <c r="L162" s="45">
        <f>187/1000*250</f>
        <v>46.75</v>
      </c>
      <c r="M162" s="45">
        <f>379.2/1000*250</f>
        <v>94.8</v>
      </c>
      <c r="N162" s="45">
        <f>147/1000*250</f>
        <v>36.75</v>
      </c>
      <c r="O162" s="45">
        <v>2.61</v>
      </c>
    </row>
    <row r="163" spans="1:15" ht="15.75" x14ac:dyDescent="0.25">
      <c r="A163" s="45"/>
      <c r="B163" s="45" t="s">
        <v>23</v>
      </c>
      <c r="C163" s="45">
        <f>20/1000*250</f>
        <v>5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1:15" ht="15.75" x14ac:dyDescent="0.25">
      <c r="A164" s="45"/>
      <c r="B164" s="45" t="s">
        <v>36</v>
      </c>
      <c r="C164" s="45">
        <v>10.07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1:15" ht="15.75" x14ac:dyDescent="0.25">
      <c r="A165" s="45"/>
      <c r="B165" s="45" t="s">
        <v>37</v>
      </c>
      <c r="C165" s="45">
        <f>39/1000*250</f>
        <v>9.75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1:15" ht="15.75" x14ac:dyDescent="0.25">
      <c r="A166" s="45"/>
      <c r="B166" s="45" t="s">
        <v>83</v>
      </c>
      <c r="C166" s="45">
        <f>140.2/1000*250</f>
        <v>35.049999999999997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1:15" ht="15.75" x14ac:dyDescent="0.25">
      <c r="A167" s="45"/>
      <c r="B167" s="45" t="s">
        <v>47</v>
      </c>
      <c r="C167" s="45">
        <f>8/1000*250</f>
        <v>2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1:15" ht="15.75" x14ac:dyDescent="0.25">
      <c r="A168" s="45"/>
      <c r="B168" s="45" t="s">
        <v>58</v>
      </c>
      <c r="C168" s="45">
        <v>2.42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1:15" ht="15.75" x14ac:dyDescent="0.25">
      <c r="A169" s="45">
        <v>367</v>
      </c>
      <c r="B169" s="44" t="s">
        <v>84</v>
      </c>
      <c r="C169" s="45">
        <v>100</v>
      </c>
      <c r="D169" s="45">
        <v>14.08</v>
      </c>
      <c r="E169" s="45">
        <f>18.3/1.2</f>
        <v>15.250000000000002</v>
      </c>
      <c r="F169" s="45">
        <f>3.8/1.2</f>
        <v>3.1666666666666665</v>
      </c>
      <c r="G169" s="45">
        <v>205.8</v>
      </c>
      <c r="H169" s="45">
        <f>0.04/1.2</f>
        <v>3.3333333333333333E-2</v>
      </c>
      <c r="I169" s="45">
        <f>1.3/1.2</f>
        <v>1.0833333333333335</v>
      </c>
      <c r="J169" s="45">
        <f>115.7/1.2</f>
        <v>96.416666666666671</v>
      </c>
      <c r="K169" s="45">
        <f>0.7/1.2</f>
        <v>0.58333333333333337</v>
      </c>
      <c r="L169" s="45">
        <f>29.6/1.2</f>
        <v>24.666666666666668</v>
      </c>
      <c r="M169" s="45">
        <f>83/1.2</f>
        <v>69.166666666666671</v>
      </c>
      <c r="N169" s="45">
        <f>21.7/1.2</f>
        <v>18.083333333333332</v>
      </c>
      <c r="O169" s="45">
        <f>1.52/1.2</f>
        <v>1.2666666666666668</v>
      </c>
    </row>
    <row r="170" spans="1:15" ht="15.75" x14ac:dyDescent="0.25">
      <c r="A170" s="45"/>
      <c r="B170" s="45" t="s">
        <v>284</v>
      </c>
      <c r="C170" s="45">
        <v>58.33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1:15" ht="15.75" x14ac:dyDescent="0.25">
      <c r="A171" s="45"/>
      <c r="B171" s="45" t="s">
        <v>34</v>
      </c>
      <c r="C171" s="45">
        <v>7.75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1:15" ht="15.75" x14ac:dyDescent="0.25">
      <c r="A172" s="45"/>
      <c r="B172" s="45" t="s">
        <v>23</v>
      </c>
      <c r="C172" s="45">
        <v>7.5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5" ht="15.75" x14ac:dyDescent="0.25">
      <c r="A173" s="45"/>
      <c r="B173" s="45" t="s">
        <v>35</v>
      </c>
      <c r="C173" s="45">
        <v>4.16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1:15" ht="15.75" x14ac:dyDescent="0.25">
      <c r="A174" s="45"/>
      <c r="B174" s="45" t="s">
        <v>46</v>
      </c>
      <c r="C174" s="45">
        <v>1.58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1:15" ht="15.75" x14ac:dyDescent="0.25">
      <c r="A175" s="45"/>
      <c r="B175" s="45" t="s">
        <v>36</v>
      </c>
      <c r="C175" s="45">
        <v>6.5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1:15" ht="15.75" x14ac:dyDescent="0.25">
      <c r="A176" s="45"/>
      <c r="B176" s="45" t="s">
        <v>37</v>
      </c>
      <c r="C176" s="45">
        <v>6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1:15" ht="15.75" x14ac:dyDescent="0.25">
      <c r="A177" s="45"/>
      <c r="B177" s="45" t="s">
        <v>47</v>
      </c>
      <c r="C177" s="45">
        <v>0.5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1:15" ht="15.75" x14ac:dyDescent="0.25">
      <c r="A178" s="45">
        <v>207</v>
      </c>
      <c r="B178" s="44" t="s">
        <v>85</v>
      </c>
      <c r="C178" s="45">
        <v>150</v>
      </c>
      <c r="D178" s="45">
        <v>5.51</v>
      </c>
      <c r="E178" s="45">
        <v>8.08</v>
      </c>
      <c r="F178" s="45">
        <v>37.76</v>
      </c>
      <c r="G178" s="45">
        <v>251.1</v>
      </c>
      <c r="H178" s="45">
        <v>0.05</v>
      </c>
      <c r="I178" s="45">
        <v>0</v>
      </c>
      <c r="J178" s="45">
        <v>0.05</v>
      </c>
      <c r="K178" s="45">
        <v>0.76</v>
      </c>
      <c r="L178" s="45">
        <v>23.4</v>
      </c>
      <c r="M178" s="45">
        <v>191.34</v>
      </c>
      <c r="N178" s="45">
        <v>23.4</v>
      </c>
      <c r="O178" s="45">
        <v>1.08</v>
      </c>
    </row>
    <row r="179" spans="1:15" ht="15.75" x14ac:dyDescent="0.25">
      <c r="A179" s="45"/>
      <c r="B179" s="45" t="s">
        <v>86</v>
      </c>
      <c r="C179" s="45">
        <v>35.07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1:15" ht="15.75" x14ac:dyDescent="0.25">
      <c r="A180" s="45"/>
      <c r="B180" s="45" t="s">
        <v>23</v>
      </c>
      <c r="C180" s="45">
        <v>7.5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1:15" ht="15.75" x14ac:dyDescent="0.25">
      <c r="A181" s="45">
        <v>497</v>
      </c>
      <c r="B181" s="44" t="s">
        <v>87</v>
      </c>
      <c r="C181" s="45">
        <v>200</v>
      </c>
      <c r="D181" s="45">
        <v>0.1</v>
      </c>
      <c r="E181" s="45">
        <v>0.04</v>
      </c>
      <c r="F181" s="45">
        <v>9.9</v>
      </c>
      <c r="G181" s="45">
        <v>41</v>
      </c>
      <c r="H181" s="45">
        <v>0</v>
      </c>
      <c r="I181" s="45">
        <v>1.1000000000000001</v>
      </c>
      <c r="J181" s="45">
        <v>0</v>
      </c>
      <c r="K181" s="45">
        <v>0.2</v>
      </c>
      <c r="L181" s="45">
        <v>3</v>
      </c>
      <c r="M181" s="45">
        <v>2</v>
      </c>
      <c r="N181" s="45">
        <v>2.9</v>
      </c>
      <c r="O181" s="45">
        <v>0.15</v>
      </c>
    </row>
    <row r="182" spans="1:15" ht="15.75" x14ac:dyDescent="0.25">
      <c r="A182" s="45"/>
      <c r="B182" s="45" t="s">
        <v>22</v>
      </c>
      <c r="C182" s="45">
        <v>10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1:15" ht="15.75" x14ac:dyDescent="0.25">
      <c r="A183" s="45"/>
      <c r="B183" s="45" t="s">
        <v>88</v>
      </c>
      <c r="C183" s="45">
        <v>22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1:15" ht="15.75" x14ac:dyDescent="0.25">
      <c r="A184" s="45"/>
      <c r="B184" s="44" t="s">
        <v>72</v>
      </c>
      <c r="C184" s="45">
        <v>40</v>
      </c>
      <c r="D184" s="45">
        <v>3.04</v>
      </c>
      <c r="E184" s="45">
        <v>0.32</v>
      </c>
      <c r="F184" s="45">
        <v>19.68</v>
      </c>
      <c r="G184" s="45">
        <v>94</v>
      </c>
      <c r="H184" s="45">
        <v>0.04</v>
      </c>
      <c r="I184" s="45">
        <v>0</v>
      </c>
      <c r="J184" s="45">
        <v>0</v>
      </c>
      <c r="K184" s="45">
        <v>0.44</v>
      </c>
      <c r="L184" s="45">
        <v>8</v>
      </c>
      <c r="M184" s="45">
        <v>26</v>
      </c>
      <c r="N184" s="45">
        <v>5.6</v>
      </c>
      <c r="O184" s="45">
        <v>0.44</v>
      </c>
    </row>
    <row r="185" spans="1:15" ht="15.75" x14ac:dyDescent="0.25">
      <c r="A185" s="45"/>
      <c r="B185" s="44" t="s">
        <v>73</v>
      </c>
      <c r="C185" s="45">
        <v>30</v>
      </c>
      <c r="D185" s="45">
        <v>2.64</v>
      </c>
      <c r="E185" s="45">
        <v>0.48</v>
      </c>
      <c r="F185" s="45">
        <v>13.36</v>
      </c>
      <c r="G185" s="45">
        <v>69.599999999999994</v>
      </c>
      <c r="H185" s="45">
        <v>7.0000000000000007E-2</v>
      </c>
      <c r="I185" s="45">
        <v>0</v>
      </c>
      <c r="J185" s="45">
        <v>0</v>
      </c>
      <c r="K185" s="45">
        <v>0.56000000000000005</v>
      </c>
      <c r="L185" s="45">
        <v>14</v>
      </c>
      <c r="M185" s="45">
        <v>63.2</v>
      </c>
      <c r="N185" s="45">
        <v>18.8</v>
      </c>
      <c r="O185" s="45">
        <v>1.56</v>
      </c>
    </row>
    <row r="186" spans="1:15" s="7" customFormat="1" ht="15.75" x14ac:dyDescent="0.25">
      <c r="A186" s="44"/>
      <c r="B186" s="44" t="s">
        <v>347</v>
      </c>
      <c r="C186" s="44"/>
      <c r="D186" s="44">
        <f>D187+D188</f>
        <v>5</v>
      </c>
      <c r="E186" s="44">
        <f t="shared" ref="E186:O186" si="7">E187+E188</f>
        <v>6.7</v>
      </c>
      <c r="F186" s="44">
        <f t="shared" si="7"/>
        <v>22.4</v>
      </c>
      <c r="G186" s="44">
        <f t="shared" si="7"/>
        <v>473</v>
      </c>
      <c r="H186" s="44">
        <f t="shared" si="7"/>
        <v>0.02</v>
      </c>
      <c r="I186" s="44">
        <f t="shared" si="7"/>
        <v>4</v>
      </c>
      <c r="J186" s="44">
        <f t="shared" si="7"/>
        <v>0</v>
      </c>
      <c r="K186" s="44">
        <f t="shared" si="7"/>
        <v>0</v>
      </c>
      <c r="L186" s="44">
        <f t="shared" si="7"/>
        <v>14</v>
      </c>
      <c r="M186" s="44">
        <f t="shared" si="7"/>
        <v>0</v>
      </c>
      <c r="N186" s="44">
        <f t="shared" si="7"/>
        <v>0</v>
      </c>
      <c r="O186" s="44">
        <f t="shared" si="7"/>
        <v>2.8</v>
      </c>
    </row>
    <row r="187" spans="1:15" ht="15.75" x14ac:dyDescent="0.25">
      <c r="A187" s="45"/>
      <c r="B187" s="44" t="s">
        <v>293</v>
      </c>
      <c r="C187" s="45">
        <v>100</v>
      </c>
      <c r="D187" s="45">
        <v>4</v>
      </c>
      <c r="E187" s="45">
        <v>6.5</v>
      </c>
      <c r="F187" s="45">
        <v>22.2</v>
      </c>
      <c r="G187" s="45">
        <v>381</v>
      </c>
      <c r="H187" s="45"/>
      <c r="I187" s="45"/>
      <c r="J187" s="45"/>
      <c r="K187" s="45"/>
      <c r="L187" s="45"/>
      <c r="M187" s="45"/>
      <c r="N187" s="45"/>
      <c r="O187" s="45"/>
    </row>
    <row r="188" spans="1:15" ht="15.75" x14ac:dyDescent="0.25">
      <c r="A188" s="45"/>
      <c r="B188" s="44" t="s">
        <v>89</v>
      </c>
      <c r="C188" s="45">
        <v>200</v>
      </c>
      <c r="D188" s="45">
        <v>1</v>
      </c>
      <c r="E188" s="45">
        <v>0.2</v>
      </c>
      <c r="F188" s="45">
        <v>0.2</v>
      </c>
      <c r="G188" s="45">
        <v>92</v>
      </c>
      <c r="H188" s="45">
        <v>0.02</v>
      </c>
      <c r="I188" s="45">
        <v>4</v>
      </c>
      <c r="J188" s="45">
        <v>0</v>
      </c>
      <c r="K188" s="45">
        <v>0</v>
      </c>
      <c r="L188" s="45">
        <v>14</v>
      </c>
      <c r="M188" s="45">
        <v>0</v>
      </c>
      <c r="N188" s="45">
        <v>0</v>
      </c>
      <c r="O188" s="45">
        <v>2.8</v>
      </c>
    </row>
    <row r="189" spans="1:15" s="7" customFormat="1" ht="15.75" x14ac:dyDescent="0.25">
      <c r="A189" s="44"/>
      <c r="B189" s="44" t="s">
        <v>66</v>
      </c>
      <c r="C189" s="44"/>
      <c r="D189" s="44">
        <f t="shared" ref="D189:O189" si="8">D104+D125+D153+D186</f>
        <v>91.91</v>
      </c>
      <c r="E189" s="44">
        <f t="shared" si="8"/>
        <v>89.78</v>
      </c>
      <c r="F189" s="44">
        <f t="shared" si="8"/>
        <v>313.00666666666666</v>
      </c>
      <c r="G189" s="44">
        <f t="shared" si="8"/>
        <v>2655</v>
      </c>
      <c r="H189" s="44">
        <f t="shared" si="8"/>
        <v>22.303333333333335</v>
      </c>
      <c r="I189" s="44">
        <f t="shared" si="8"/>
        <v>111.14333333333335</v>
      </c>
      <c r="J189" s="44">
        <f t="shared" si="8"/>
        <v>116.53666666666666</v>
      </c>
      <c r="K189" s="44">
        <f t="shared" si="8"/>
        <v>15.383333333333335</v>
      </c>
      <c r="L189" s="44">
        <f t="shared" si="8"/>
        <v>385.20666666666665</v>
      </c>
      <c r="M189" s="44">
        <f t="shared" si="8"/>
        <v>1211.1766666666667</v>
      </c>
      <c r="N189" s="44">
        <f t="shared" si="8"/>
        <v>301.96333333333331</v>
      </c>
      <c r="O189" s="44">
        <f t="shared" si="8"/>
        <v>22.468666666666667</v>
      </c>
    </row>
    <row r="190" spans="1:15" ht="15.75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1:15" ht="18" x14ac:dyDescent="0.25">
      <c r="A191" s="1" t="s">
        <v>102</v>
      </c>
    </row>
    <row r="193" spans="1:15" ht="15.75" x14ac:dyDescent="0.25">
      <c r="A193" s="2" t="s">
        <v>19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</row>
    <row r="194" spans="1:15" ht="15" x14ac:dyDescent="0.2">
      <c r="A194" s="62" t="s">
        <v>17</v>
      </c>
      <c r="B194" s="61" t="s">
        <v>0</v>
      </c>
      <c r="C194" s="61" t="s">
        <v>1</v>
      </c>
      <c r="D194" s="63" t="s">
        <v>9</v>
      </c>
      <c r="E194" s="64"/>
      <c r="F194" s="65"/>
      <c r="G194" s="61" t="s">
        <v>10</v>
      </c>
      <c r="H194" s="61" t="s">
        <v>7</v>
      </c>
      <c r="I194" s="61"/>
      <c r="J194" s="61"/>
      <c r="K194" s="61"/>
      <c r="L194" s="61" t="s">
        <v>8</v>
      </c>
      <c r="M194" s="61"/>
      <c r="N194" s="61"/>
      <c r="O194" s="61"/>
    </row>
    <row r="195" spans="1:15" ht="30" x14ac:dyDescent="0.2">
      <c r="A195" s="62"/>
      <c r="B195" s="61"/>
      <c r="C195" s="61"/>
      <c r="D195" s="41" t="s">
        <v>2</v>
      </c>
      <c r="E195" s="42" t="s">
        <v>3</v>
      </c>
      <c r="F195" s="42" t="s">
        <v>4</v>
      </c>
      <c r="G195" s="61"/>
      <c r="H195" s="42" t="s">
        <v>11</v>
      </c>
      <c r="I195" s="42" t="s">
        <v>12</v>
      </c>
      <c r="J195" s="42" t="s">
        <v>13</v>
      </c>
      <c r="K195" s="42" t="s">
        <v>5</v>
      </c>
      <c r="L195" s="43" t="s">
        <v>14</v>
      </c>
      <c r="M195" s="42" t="s">
        <v>15</v>
      </c>
      <c r="N195" s="42" t="s">
        <v>6</v>
      </c>
      <c r="O195" s="42" t="s">
        <v>16</v>
      </c>
    </row>
    <row r="196" spans="1:15" s="7" customFormat="1" ht="15.75" x14ac:dyDescent="0.25">
      <c r="A196" s="44"/>
      <c r="B196" s="44" t="s">
        <v>366</v>
      </c>
      <c r="C196" s="44"/>
      <c r="D196" s="44">
        <f>D197+D200+D209+D213+D217+D218</f>
        <v>34.590000000000003</v>
      </c>
      <c r="E196" s="44">
        <f t="shared" ref="E196:O196" si="9">E197+E200+E209+E213+E217+E218</f>
        <v>39.904666666666664</v>
      </c>
      <c r="F196" s="44">
        <f t="shared" si="9"/>
        <v>85.53</v>
      </c>
      <c r="G196" s="44">
        <f t="shared" si="9"/>
        <v>847.87</v>
      </c>
      <c r="H196" s="44">
        <f t="shared" si="9"/>
        <v>0.24000000000000002</v>
      </c>
      <c r="I196" s="44">
        <f t="shared" si="9"/>
        <v>1.3029999999999999</v>
      </c>
      <c r="J196" s="44">
        <f t="shared" si="9"/>
        <v>79.2</v>
      </c>
      <c r="K196" s="44">
        <f t="shared" si="9"/>
        <v>2.1210617120106172</v>
      </c>
      <c r="L196" s="44">
        <f t="shared" si="9"/>
        <v>437.93</v>
      </c>
      <c r="M196" s="44">
        <f t="shared" si="9"/>
        <v>544.83000000000004</v>
      </c>
      <c r="N196" s="44">
        <f t="shared" si="9"/>
        <v>87.509999999999991</v>
      </c>
      <c r="O196" s="44">
        <f t="shared" si="9"/>
        <v>3.9109289980092901</v>
      </c>
    </row>
    <row r="197" spans="1:15" ht="15.75" x14ac:dyDescent="0.25">
      <c r="A197" s="45">
        <v>69</v>
      </c>
      <c r="B197" s="44" t="s">
        <v>90</v>
      </c>
      <c r="C197" s="45">
        <v>35</v>
      </c>
      <c r="D197" s="45">
        <v>1.6</v>
      </c>
      <c r="E197" s="45">
        <v>11</v>
      </c>
      <c r="F197" s="45">
        <v>10</v>
      </c>
      <c r="G197" s="45">
        <v>146</v>
      </c>
      <c r="H197" s="45">
        <v>0.02</v>
      </c>
      <c r="I197" s="45">
        <v>0</v>
      </c>
      <c r="J197" s="45">
        <v>60</v>
      </c>
      <c r="K197" s="45">
        <v>0.4</v>
      </c>
      <c r="L197" s="45">
        <v>7.6</v>
      </c>
      <c r="M197" s="45">
        <v>17.5</v>
      </c>
      <c r="N197" s="45">
        <v>2.8</v>
      </c>
      <c r="O197" s="45">
        <v>0.25</v>
      </c>
    </row>
    <row r="198" spans="1:15" ht="15.75" x14ac:dyDescent="0.25">
      <c r="A198" s="45"/>
      <c r="B198" s="45" t="s">
        <v>23</v>
      </c>
      <c r="C198" s="45">
        <v>15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1:15" ht="15.75" x14ac:dyDescent="0.25">
      <c r="A199" s="45"/>
      <c r="B199" s="45" t="s">
        <v>27</v>
      </c>
      <c r="C199" s="45">
        <v>20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1:15" ht="15.75" x14ac:dyDescent="0.25">
      <c r="A200" s="45">
        <v>279</v>
      </c>
      <c r="B200" s="44" t="s">
        <v>91</v>
      </c>
      <c r="C200" s="45">
        <v>150</v>
      </c>
      <c r="D200" s="45">
        <v>24</v>
      </c>
      <c r="E200" s="45">
        <v>25.2</v>
      </c>
      <c r="F200" s="45">
        <v>23.9</v>
      </c>
      <c r="G200" s="45">
        <v>424.99</v>
      </c>
      <c r="H200" s="45">
        <v>0.08</v>
      </c>
      <c r="I200" s="45">
        <v>0.6</v>
      </c>
      <c r="J200" s="45">
        <v>0.2</v>
      </c>
      <c r="K200" s="45">
        <v>0.71</v>
      </c>
      <c r="L200" s="45">
        <v>297</v>
      </c>
      <c r="M200" s="45">
        <v>347</v>
      </c>
      <c r="N200" s="45">
        <v>38</v>
      </c>
      <c r="O200" s="45">
        <v>1.01</v>
      </c>
    </row>
    <row r="201" spans="1:15" ht="15.75" x14ac:dyDescent="0.25">
      <c r="A201" s="45"/>
      <c r="B201" s="45" t="s">
        <v>92</v>
      </c>
      <c r="C201" s="45">
        <v>10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1:15" ht="15.75" x14ac:dyDescent="0.25">
      <c r="A202" s="45"/>
      <c r="B202" s="45" t="s">
        <v>93</v>
      </c>
      <c r="C202" s="45">
        <v>5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1:15" ht="15.75" x14ac:dyDescent="0.25">
      <c r="A203" s="45"/>
      <c r="B203" s="45" t="s">
        <v>22</v>
      </c>
      <c r="C203" s="45">
        <v>10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1:15" ht="15.75" x14ac:dyDescent="0.25">
      <c r="A204" s="45"/>
      <c r="B204" s="45" t="s">
        <v>25</v>
      </c>
      <c r="C204" s="45">
        <v>39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1:15" ht="15.75" x14ac:dyDescent="0.25">
      <c r="A205" s="45"/>
      <c r="B205" s="45" t="s">
        <v>94</v>
      </c>
      <c r="C205" s="45">
        <v>140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1:15" ht="15.75" x14ac:dyDescent="0.25">
      <c r="A206" s="45"/>
      <c r="B206" s="45" t="s">
        <v>35</v>
      </c>
      <c r="C206" s="45">
        <v>5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15" ht="15.75" x14ac:dyDescent="0.25">
      <c r="A207" s="45"/>
      <c r="B207" s="45" t="s">
        <v>95</v>
      </c>
      <c r="C207" s="45">
        <v>1.4999999999999999E-2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1:15" ht="15.75" x14ac:dyDescent="0.25">
      <c r="A208" s="45"/>
      <c r="B208" s="45" t="s">
        <v>96</v>
      </c>
      <c r="C208" s="45">
        <v>4.5999999999999996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1:15" ht="15.75" x14ac:dyDescent="0.25">
      <c r="A209" s="45">
        <v>435</v>
      </c>
      <c r="B209" s="44" t="s">
        <v>97</v>
      </c>
      <c r="C209" s="45">
        <v>35</v>
      </c>
      <c r="D209" s="45">
        <v>0.01</v>
      </c>
      <c r="E209" s="45">
        <f>0.01/75*35</f>
        <v>4.6666666666666671E-3</v>
      </c>
      <c r="F209" s="45">
        <v>4.79</v>
      </c>
      <c r="G209" s="45">
        <v>19.28</v>
      </c>
      <c r="H209" s="45">
        <v>0</v>
      </c>
      <c r="I209" s="45">
        <v>3.0000000000000001E-3</v>
      </c>
      <c r="J209" s="45">
        <v>0</v>
      </c>
      <c r="K209" s="45">
        <f>0.08/75.35</f>
        <v>1.0617120106171203E-3</v>
      </c>
      <c r="L209" s="45">
        <v>0.03</v>
      </c>
      <c r="M209" s="45">
        <v>0.03</v>
      </c>
      <c r="N209" s="45">
        <v>0.01</v>
      </c>
      <c r="O209" s="45">
        <f>0.07/75.35</f>
        <v>9.2899800928998024E-4</v>
      </c>
    </row>
    <row r="210" spans="1:15" ht="15.75" x14ac:dyDescent="0.25">
      <c r="A210" s="45"/>
      <c r="B210" s="45" t="s">
        <v>22</v>
      </c>
      <c r="C210" s="45">
        <f>9/75*35</f>
        <v>4.2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1:15" ht="15.75" x14ac:dyDescent="0.25">
      <c r="A211" s="45"/>
      <c r="B211" s="45" t="s">
        <v>98</v>
      </c>
      <c r="C211" s="45">
        <f>2.25/75*35</f>
        <v>1.05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1:15" ht="15.75" x14ac:dyDescent="0.25">
      <c r="A212" s="45"/>
      <c r="B212" s="45" t="s">
        <v>88</v>
      </c>
      <c r="C212" s="45">
        <v>4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1:15" ht="15.75" x14ac:dyDescent="0.25">
      <c r="A213" s="45">
        <v>462</v>
      </c>
      <c r="B213" s="44" t="s">
        <v>99</v>
      </c>
      <c r="C213" s="45">
        <v>200</v>
      </c>
      <c r="D213" s="45">
        <v>3.3</v>
      </c>
      <c r="E213" s="45">
        <v>2.9</v>
      </c>
      <c r="F213" s="45">
        <v>13.8</v>
      </c>
      <c r="G213" s="45">
        <v>94</v>
      </c>
      <c r="H213" s="45">
        <v>0.03</v>
      </c>
      <c r="I213" s="45">
        <v>0.7</v>
      </c>
      <c r="J213" s="45">
        <v>19</v>
      </c>
      <c r="K213" s="45">
        <v>0.01</v>
      </c>
      <c r="L213" s="45">
        <v>111.3</v>
      </c>
      <c r="M213" s="45">
        <v>91.1</v>
      </c>
      <c r="N213" s="45">
        <v>22.3</v>
      </c>
      <c r="O213" s="45">
        <v>0.65</v>
      </c>
    </row>
    <row r="214" spans="1:15" ht="15.75" x14ac:dyDescent="0.25">
      <c r="A214" s="45"/>
      <c r="B214" s="45" t="s">
        <v>22</v>
      </c>
      <c r="C214" s="45">
        <v>10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1:15" ht="15.75" x14ac:dyDescent="0.25">
      <c r="A215" s="45"/>
      <c r="B215" s="45" t="s">
        <v>100</v>
      </c>
      <c r="C215" s="45">
        <v>2.4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1:15" ht="15.75" x14ac:dyDescent="0.25">
      <c r="A216" s="45"/>
      <c r="B216" s="45" t="s">
        <v>25</v>
      </c>
      <c r="C216" s="45">
        <v>100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1:15" ht="15.75" x14ac:dyDescent="0.25">
      <c r="A217" s="45"/>
      <c r="B217" s="44" t="s">
        <v>73</v>
      </c>
      <c r="C217" s="45">
        <v>30</v>
      </c>
      <c r="D217" s="45">
        <v>2.64</v>
      </c>
      <c r="E217" s="45">
        <v>0.48</v>
      </c>
      <c r="F217" s="45">
        <v>13.36</v>
      </c>
      <c r="G217" s="45">
        <v>69.599999999999994</v>
      </c>
      <c r="H217" s="45">
        <v>7.0000000000000007E-2</v>
      </c>
      <c r="I217" s="45">
        <v>0</v>
      </c>
      <c r="J217" s="45">
        <v>0</v>
      </c>
      <c r="K217" s="45">
        <v>0.56000000000000005</v>
      </c>
      <c r="L217" s="45">
        <v>14</v>
      </c>
      <c r="M217" s="45">
        <v>63.2</v>
      </c>
      <c r="N217" s="45">
        <v>18.8</v>
      </c>
      <c r="O217" s="45">
        <v>1.56</v>
      </c>
    </row>
    <row r="218" spans="1:15" ht="15.75" x14ac:dyDescent="0.25">
      <c r="A218" s="45"/>
      <c r="B218" s="44" t="s">
        <v>27</v>
      </c>
      <c r="C218" s="45">
        <v>40</v>
      </c>
      <c r="D218" s="45">
        <v>3.04</v>
      </c>
      <c r="E218" s="45">
        <v>0.32</v>
      </c>
      <c r="F218" s="45">
        <v>19.68</v>
      </c>
      <c r="G218" s="45">
        <v>94</v>
      </c>
      <c r="H218" s="45">
        <v>0.04</v>
      </c>
      <c r="I218" s="45">
        <v>0</v>
      </c>
      <c r="J218" s="45">
        <v>0</v>
      </c>
      <c r="K218" s="45">
        <v>0.44</v>
      </c>
      <c r="L218" s="45">
        <v>8</v>
      </c>
      <c r="M218" s="45">
        <v>26</v>
      </c>
      <c r="N218" s="45">
        <v>5.6</v>
      </c>
      <c r="O218" s="45">
        <v>0.44</v>
      </c>
    </row>
    <row r="219" spans="1:15" ht="15.75" x14ac:dyDescent="0.25">
      <c r="A219" s="45"/>
      <c r="B219" s="44" t="s">
        <v>357</v>
      </c>
      <c r="C219" s="45">
        <v>90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1:15" s="7" customFormat="1" ht="15.75" x14ac:dyDescent="0.25">
      <c r="A220" s="44"/>
      <c r="B220" s="44" t="s">
        <v>353</v>
      </c>
      <c r="C220" s="44"/>
      <c r="D220" s="44">
        <f t="shared" ref="D220:O220" si="10">D221+D229+D238+D246+D250+D251</f>
        <v>33.44</v>
      </c>
      <c r="E220" s="44">
        <f t="shared" si="10"/>
        <v>34.449999999999996</v>
      </c>
      <c r="F220" s="44">
        <f t="shared" si="10"/>
        <v>88.22</v>
      </c>
      <c r="G220" s="44">
        <f t="shared" si="10"/>
        <v>798.95</v>
      </c>
      <c r="H220" s="44">
        <f t="shared" si="10"/>
        <v>0.318</v>
      </c>
      <c r="I220" s="44">
        <f t="shared" si="10"/>
        <v>18.34</v>
      </c>
      <c r="J220" s="44">
        <f t="shared" si="10"/>
        <v>77.42</v>
      </c>
      <c r="K220" s="44">
        <f t="shared" si="10"/>
        <v>8.1999999999999993</v>
      </c>
      <c r="L220" s="44">
        <f t="shared" si="10"/>
        <v>102.05</v>
      </c>
      <c r="M220" s="44">
        <f t="shared" si="10"/>
        <v>302.44</v>
      </c>
      <c r="N220" s="44">
        <f t="shared" si="10"/>
        <v>97.919999999999987</v>
      </c>
      <c r="O220" s="44">
        <f t="shared" si="10"/>
        <v>5.4580000000000002</v>
      </c>
    </row>
    <row r="221" spans="1:15" ht="15.75" x14ac:dyDescent="0.25">
      <c r="A221" s="45">
        <v>53</v>
      </c>
      <c r="B221" s="44" t="s">
        <v>103</v>
      </c>
      <c r="C221" s="45">
        <v>60</v>
      </c>
      <c r="D221" s="45">
        <f>2.3/100*60</f>
        <v>1.38</v>
      </c>
      <c r="E221" s="45">
        <f>5.5/100*60</f>
        <v>3.3</v>
      </c>
      <c r="F221" s="45">
        <f>11.8/100*60</f>
        <v>7.08</v>
      </c>
      <c r="G221" s="45">
        <f>106/100*60</f>
        <v>63.6</v>
      </c>
      <c r="H221" s="45">
        <f>0.03/100*60</f>
        <v>1.7999999999999999E-2</v>
      </c>
      <c r="I221" s="45">
        <f>10.7/100*60</f>
        <v>6.42</v>
      </c>
      <c r="J221" s="45">
        <v>0</v>
      </c>
      <c r="K221" s="45">
        <f>3.8/100*60</f>
        <v>2.2799999999999998</v>
      </c>
      <c r="L221" s="45">
        <f>38.8/100*60</f>
        <v>23.279999999999998</v>
      </c>
      <c r="M221" s="45">
        <f>60.3/100*60</f>
        <v>36.18</v>
      </c>
      <c r="N221" s="45">
        <f>30.7/100*60</f>
        <v>18.419999999999998</v>
      </c>
      <c r="O221" s="45">
        <f>1.73/100*60</f>
        <v>1.038</v>
      </c>
    </row>
    <row r="222" spans="1:15" ht="15.75" x14ac:dyDescent="0.25">
      <c r="A222" s="45"/>
      <c r="B222" s="45" t="s">
        <v>42</v>
      </c>
      <c r="C222" s="45">
        <f>20/100*60</f>
        <v>12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1:15" ht="15.75" x14ac:dyDescent="0.25">
      <c r="A223" s="45"/>
      <c r="B223" s="45" t="s">
        <v>36</v>
      </c>
      <c r="C223" s="45">
        <f>17.6/100*60</f>
        <v>10.56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1:15" ht="15.75" x14ac:dyDescent="0.25">
      <c r="A224" s="45"/>
      <c r="B224" s="45" t="s">
        <v>41</v>
      </c>
      <c r="C224" s="45">
        <f>6/100*60</f>
        <v>3.5999999999999996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1:15" ht="15.75" x14ac:dyDescent="0.25">
      <c r="A225" s="45"/>
      <c r="B225" s="45" t="s">
        <v>34</v>
      </c>
      <c r="C225" s="45">
        <f>28/100*60</f>
        <v>16.8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1:15" ht="15.75" x14ac:dyDescent="0.25">
      <c r="A226" s="45"/>
      <c r="B226" s="45" t="s">
        <v>22</v>
      </c>
      <c r="C226" s="45">
        <f>1.2/100*60</f>
        <v>0.72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1:15" ht="15.75" x14ac:dyDescent="0.25">
      <c r="A227" s="45"/>
      <c r="B227" s="45" t="s">
        <v>33</v>
      </c>
      <c r="C227" s="45">
        <f>76.8/100*60</f>
        <v>46.08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1:15" ht="15.75" x14ac:dyDescent="0.25">
      <c r="A228" s="45"/>
      <c r="B228" s="45" t="s">
        <v>47</v>
      </c>
      <c r="C228" s="45">
        <f>0.25/100*60</f>
        <v>0.15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1:15" ht="15.75" x14ac:dyDescent="0.25">
      <c r="A229" s="45">
        <v>130</v>
      </c>
      <c r="B229" s="44" t="s">
        <v>104</v>
      </c>
      <c r="C229" s="45">
        <v>250</v>
      </c>
      <c r="D229" s="45">
        <v>4.2300000000000004</v>
      </c>
      <c r="E229" s="45">
        <v>3.6</v>
      </c>
      <c r="F229" s="45">
        <v>15</v>
      </c>
      <c r="G229" s="45">
        <v>110.2</v>
      </c>
      <c r="H229" s="45">
        <v>0</v>
      </c>
      <c r="I229" s="45">
        <v>0.46</v>
      </c>
      <c r="J229" s="45">
        <v>0</v>
      </c>
      <c r="K229" s="45">
        <v>0</v>
      </c>
      <c r="L229" s="45">
        <v>0.5</v>
      </c>
      <c r="M229" s="45">
        <v>1.4</v>
      </c>
      <c r="N229" s="45">
        <v>0.52</v>
      </c>
      <c r="O229" s="45">
        <v>0.03</v>
      </c>
    </row>
    <row r="230" spans="1:15" ht="15.75" x14ac:dyDescent="0.25">
      <c r="A230" s="45"/>
      <c r="B230" s="45" t="s">
        <v>77</v>
      </c>
      <c r="C230" s="45">
        <v>50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1:15" ht="15.75" x14ac:dyDescent="0.25">
      <c r="A231" s="45"/>
      <c r="B231" s="45" t="s">
        <v>36</v>
      </c>
      <c r="C231" s="45">
        <v>10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1:15" ht="15.75" x14ac:dyDescent="0.25">
      <c r="A232" s="45"/>
      <c r="B232" s="45" t="s">
        <v>37</v>
      </c>
      <c r="C232" s="45">
        <v>10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1:15" ht="15.75" x14ac:dyDescent="0.25">
      <c r="A233" s="45"/>
      <c r="B233" s="45" t="s">
        <v>41</v>
      </c>
      <c r="C233" s="45">
        <v>2.5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1:15" ht="15.75" x14ac:dyDescent="0.25">
      <c r="A234" s="45"/>
      <c r="B234" s="45" t="s">
        <v>47</v>
      </c>
      <c r="C234" s="45">
        <v>0.22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1:15" ht="15.75" x14ac:dyDescent="0.25">
      <c r="A235" s="45"/>
      <c r="B235" s="45" t="s">
        <v>46</v>
      </c>
      <c r="C235" s="45">
        <v>7.7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1:15" ht="15.75" x14ac:dyDescent="0.25">
      <c r="A236" s="45"/>
      <c r="B236" s="45" t="s">
        <v>23</v>
      </c>
      <c r="C236" s="45">
        <v>0.88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1:15" ht="15.75" x14ac:dyDescent="0.25">
      <c r="A237" s="45"/>
      <c r="B237" s="45" t="s">
        <v>96</v>
      </c>
      <c r="C237" s="45">
        <v>2.2000000000000002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1:15" ht="15.75" x14ac:dyDescent="0.25">
      <c r="A238" s="45">
        <v>376</v>
      </c>
      <c r="B238" s="44" t="s">
        <v>105</v>
      </c>
      <c r="C238" s="45">
        <v>230</v>
      </c>
      <c r="D238" s="45">
        <v>21.65</v>
      </c>
      <c r="E238" s="45">
        <v>26.72</v>
      </c>
      <c r="F238" s="45">
        <v>18.2</v>
      </c>
      <c r="G238" s="45">
        <v>399.55</v>
      </c>
      <c r="H238" s="45">
        <v>0.18</v>
      </c>
      <c r="I238" s="45">
        <v>11.26</v>
      </c>
      <c r="J238" s="45">
        <v>77.42</v>
      </c>
      <c r="K238" s="45">
        <v>4.32</v>
      </c>
      <c r="L238" s="45">
        <v>38.770000000000003</v>
      </c>
      <c r="M238" s="45">
        <v>158.86000000000001</v>
      </c>
      <c r="N238" s="45">
        <v>44.58</v>
      </c>
      <c r="O238" s="45">
        <v>2.06</v>
      </c>
    </row>
    <row r="239" spans="1:15" ht="15.75" x14ac:dyDescent="0.25">
      <c r="A239" s="45"/>
      <c r="B239" s="45" t="s">
        <v>285</v>
      </c>
      <c r="C239" s="45">
        <v>110.4</v>
      </c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1:15" ht="15.75" x14ac:dyDescent="0.25">
      <c r="A240" s="45"/>
      <c r="B240" s="45" t="s">
        <v>34</v>
      </c>
      <c r="C240" s="45">
        <v>7.86</v>
      </c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1:15" ht="15.75" x14ac:dyDescent="0.25">
      <c r="A241" s="45"/>
      <c r="B241" s="45" t="s">
        <v>46</v>
      </c>
      <c r="C241" s="45">
        <v>1.31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1:15" ht="15.75" x14ac:dyDescent="0.25">
      <c r="A242" s="45"/>
      <c r="B242" s="45" t="s">
        <v>36</v>
      </c>
      <c r="C242" s="45">
        <v>13.1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1:15" ht="15.75" x14ac:dyDescent="0.25">
      <c r="A243" s="45"/>
      <c r="B243" s="45" t="s">
        <v>37</v>
      </c>
      <c r="C243" s="45">
        <v>21.35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1:15" ht="15.75" x14ac:dyDescent="0.25">
      <c r="A244" s="45"/>
      <c r="B244" s="45" t="s">
        <v>77</v>
      </c>
      <c r="C244" s="45">
        <v>105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1:15" ht="15.75" x14ac:dyDescent="0.25">
      <c r="A245" s="45"/>
      <c r="B245" s="45" t="s">
        <v>41</v>
      </c>
      <c r="C245" s="45">
        <v>7.86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1:15" ht="15.75" x14ac:dyDescent="0.25">
      <c r="A246" s="45">
        <v>482</v>
      </c>
      <c r="B246" s="44" t="s">
        <v>168</v>
      </c>
      <c r="C246" s="45">
        <v>200</v>
      </c>
      <c r="D246" s="45">
        <v>0.5</v>
      </c>
      <c r="E246" s="45">
        <v>0.03</v>
      </c>
      <c r="F246" s="45">
        <v>14.9</v>
      </c>
      <c r="G246" s="45">
        <v>62</v>
      </c>
      <c r="H246" s="45">
        <v>0.01</v>
      </c>
      <c r="I246" s="45">
        <v>0.2</v>
      </c>
      <c r="J246" s="45">
        <v>0</v>
      </c>
      <c r="K246" s="45">
        <v>0.6</v>
      </c>
      <c r="L246" s="45">
        <v>17.5</v>
      </c>
      <c r="M246" s="45">
        <v>16.8</v>
      </c>
      <c r="N246" s="45">
        <v>10</v>
      </c>
      <c r="O246" s="45">
        <v>0.33</v>
      </c>
    </row>
    <row r="247" spans="1:15" ht="15.75" x14ac:dyDescent="0.25">
      <c r="A247" s="45"/>
      <c r="B247" s="45" t="s">
        <v>22</v>
      </c>
      <c r="C247" s="45">
        <v>15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1:15" ht="15.75" x14ac:dyDescent="0.25">
      <c r="A248" s="45"/>
      <c r="B248" s="45" t="s">
        <v>106</v>
      </c>
      <c r="C248" s="45">
        <v>9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1:15" ht="15.75" x14ac:dyDescent="0.25">
      <c r="A249" s="45"/>
      <c r="B249" s="45" t="s">
        <v>122</v>
      </c>
      <c r="C249" s="45">
        <v>20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1:15" ht="15.75" x14ac:dyDescent="0.25">
      <c r="A250" s="45"/>
      <c r="B250" s="44" t="s">
        <v>107</v>
      </c>
      <c r="C250" s="45">
        <v>40</v>
      </c>
      <c r="D250" s="45">
        <v>3.04</v>
      </c>
      <c r="E250" s="45">
        <v>0.32</v>
      </c>
      <c r="F250" s="45">
        <v>19.68</v>
      </c>
      <c r="G250" s="45">
        <v>94</v>
      </c>
      <c r="H250" s="45">
        <v>0.04</v>
      </c>
      <c r="I250" s="45">
        <v>0</v>
      </c>
      <c r="J250" s="45">
        <v>0</v>
      </c>
      <c r="K250" s="45">
        <v>0.44</v>
      </c>
      <c r="L250" s="45">
        <v>8</v>
      </c>
      <c r="M250" s="45">
        <v>26</v>
      </c>
      <c r="N250" s="45">
        <v>5.6</v>
      </c>
      <c r="O250" s="45">
        <v>0.44</v>
      </c>
    </row>
    <row r="251" spans="1:15" ht="15.75" x14ac:dyDescent="0.25">
      <c r="A251" s="45"/>
      <c r="B251" s="44" t="s">
        <v>73</v>
      </c>
      <c r="C251" s="45">
        <v>30</v>
      </c>
      <c r="D251" s="45">
        <v>2.64</v>
      </c>
      <c r="E251" s="45">
        <v>0.48</v>
      </c>
      <c r="F251" s="45">
        <v>13.36</v>
      </c>
      <c r="G251" s="45">
        <v>69.599999999999994</v>
      </c>
      <c r="H251" s="45">
        <v>7.0000000000000007E-2</v>
      </c>
      <c r="I251" s="45">
        <v>0</v>
      </c>
      <c r="J251" s="45">
        <v>0</v>
      </c>
      <c r="K251" s="45">
        <v>0.56000000000000005</v>
      </c>
      <c r="L251" s="45">
        <v>14</v>
      </c>
      <c r="M251" s="45">
        <v>63.2</v>
      </c>
      <c r="N251" s="45">
        <v>18.8</v>
      </c>
      <c r="O251" s="45">
        <v>1.56</v>
      </c>
    </row>
    <row r="252" spans="1:15" s="7" customFormat="1" ht="15.75" x14ac:dyDescent="0.25">
      <c r="A252" s="44"/>
      <c r="B252" s="44" t="s">
        <v>349</v>
      </c>
      <c r="C252" s="44"/>
      <c r="D252" s="44">
        <f t="shared" ref="D252:O252" si="11">D253+D255+D263+D271+D274+D275</f>
        <v>30.21</v>
      </c>
      <c r="E252" s="44">
        <f t="shared" si="11"/>
        <v>29.310000000000002</v>
      </c>
      <c r="F252" s="44">
        <f t="shared" si="11"/>
        <v>85.46</v>
      </c>
      <c r="G252" s="44">
        <f t="shared" si="11"/>
        <v>729.78000000000009</v>
      </c>
      <c r="H252" s="44">
        <f t="shared" si="11"/>
        <v>0.47</v>
      </c>
      <c r="I252" s="44">
        <f t="shared" si="11"/>
        <v>68.459999999999994</v>
      </c>
      <c r="J252" s="44">
        <f t="shared" si="11"/>
        <v>0</v>
      </c>
      <c r="K252" s="44">
        <f t="shared" si="11"/>
        <v>6.52</v>
      </c>
      <c r="L252" s="44">
        <f t="shared" si="11"/>
        <v>112.33</v>
      </c>
      <c r="M252" s="44">
        <f t="shared" si="11"/>
        <v>422.34999999999997</v>
      </c>
      <c r="N252" s="44">
        <f t="shared" si="11"/>
        <v>126.95</v>
      </c>
      <c r="O252" s="44">
        <f t="shared" si="11"/>
        <v>7.93</v>
      </c>
    </row>
    <row r="253" spans="1:15" ht="15.75" x14ac:dyDescent="0.25">
      <c r="A253" s="45">
        <v>148</v>
      </c>
      <c r="B253" s="44" t="s">
        <v>108</v>
      </c>
      <c r="C253" s="45">
        <v>60</v>
      </c>
      <c r="D253" s="45">
        <v>1.1000000000000001</v>
      </c>
      <c r="E253" s="45">
        <v>0.2</v>
      </c>
      <c r="F253" s="45">
        <v>3.8</v>
      </c>
      <c r="G253" s="45">
        <v>24</v>
      </c>
      <c r="H253" s="45">
        <v>0.06</v>
      </c>
      <c r="I253" s="45">
        <v>25</v>
      </c>
      <c r="J253" s="45">
        <v>0</v>
      </c>
      <c r="K253" s="45">
        <v>0.7</v>
      </c>
      <c r="L253" s="45">
        <v>14</v>
      </c>
      <c r="M253" s="45">
        <v>26</v>
      </c>
      <c r="N253" s="45">
        <v>20</v>
      </c>
      <c r="O253" s="45">
        <v>0.9</v>
      </c>
    </row>
    <row r="254" spans="1:15" ht="15.75" x14ac:dyDescent="0.25">
      <c r="A254" s="45"/>
      <c r="B254" s="45" t="s">
        <v>109</v>
      </c>
      <c r="C254" s="45">
        <v>60</v>
      </c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1:15" ht="15.75" x14ac:dyDescent="0.25">
      <c r="A255" s="45">
        <v>100</v>
      </c>
      <c r="B255" s="44" t="s">
        <v>110</v>
      </c>
      <c r="C255" s="45">
        <v>250</v>
      </c>
      <c r="D255" s="45">
        <v>4.63</v>
      </c>
      <c r="E255" s="45">
        <v>6.73</v>
      </c>
      <c r="F255" s="45">
        <v>17.420000000000002</v>
      </c>
      <c r="G255" s="45">
        <v>147.38</v>
      </c>
      <c r="H255" s="45">
        <v>0.13</v>
      </c>
      <c r="I255" s="45">
        <v>16.8</v>
      </c>
      <c r="J255" s="45">
        <v>0</v>
      </c>
      <c r="K255" s="45">
        <v>0.23</v>
      </c>
      <c r="L255" s="45">
        <v>31.78</v>
      </c>
      <c r="M255" s="45">
        <v>58.75</v>
      </c>
      <c r="N255" s="45">
        <v>21.53</v>
      </c>
      <c r="O255" s="45">
        <v>1</v>
      </c>
    </row>
    <row r="256" spans="1:15" ht="15.75" x14ac:dyDescent="0.25">
      <c r="A256" s="45"/>
      <c r="B256" s="45" t="s">
        <v>86</v>
      </c>
      <c r="C256" s="45">
        <v>5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1:15" ht="15.75" x14ac:dyDescent="0.25">
      <c r="A257" s="45"/>
      <c r="B257" s="45" t="s">
        <v>35</v>
      </c>
      <c r="C257" s="45">
        <v>12.5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1:15" ht="15.75" x14ac:dyDescent="0.25">
      <c r="A258" s="45"/>
      <c r="B258" s="45" t="s">
        <v>54</v>
      </c>
      <c r="C258" s="45">
        <v>15.07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1:15" ht="15.75" x14ac:dyDescent="0.25">
      <c r="A259" s="45"/>
      <c r="B259" s="45" t="s">
        <v>36</v>
      </c>
      <c r="C259" s="47">
        <v>5.0199999999999996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1:15" ht="15.75" x14ac:dyDescent="0.25">
      <c r="A260" s="45"/>
      <c r="B260" s="45" t="s">
        <v>37</v>
      </c>
      <c r="C260" s="45">
        <v>9.75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1:15" ht="15.75" x14ac:dyDescent="0.25">
      <c r="A261" s="45"/>
      <c r="B261" s="45" t="s">
        <v>77</v>
      </c>
      <c r="C261" s="45">
        <v>75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1:15" ht="15.75" x14ac:dyDescent="0.25">
      <c r="A262" s="45"/>
      <c r="B262" s="45" t="s">
        <v>41</v>
      </c>
      <c r="C262" s="45">
        <v>5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1:15" ht="15.75" x14ac:dyDescent="0.25">
      <c r="A263" s="45">
        <v>325</v>
      </c>
      <c r="B263" s="44" t="s">
        <v>111</v>
      </c>
      <c r="C263" s="45">
        <v>230</v>
      </c>
      <c r="D263" s="45">
        <v>18.5</v>
      </c>
      <c r="E263" s="45">
        <v>21.48</v>
      </c>
      <c r="F263" s="45">
        <v>19.899999999999999</v>
      </c>
      <c r="G263" s="45">
        <v>346.8</v>
      </c>
      <c r="H263" s="45">
        <v>0.16</v>
      </c>
      <c r="I263" s="45">
        <v>4.96</v>
      </c>
      <c r="J263" s="45">
        <v>0</v>
      </c>
      <c r="K263" s="45">
        <v>4.3899999999999997</v>
      </c>
      <c r="L263" s="45">
        <v>33.75</v>
      </c>
      <c r="M263" s="45">
        <v>239.2</v>
      </c>
      <c r="N263" s="45">
        <v>52.12</v>
      </c>
      <c r="O263" s="45">
        <v>3.62</v>
      </c>
    </row>
    <row r="264" spans="1:15" ht="15.75" x14ac:dyDescent="0.25">
      <c r="A264" s="45"/>
      <c r="B264" s="45" t="s">
        <v>79</v>
      </c>
      <c r="C264" s="45">
        <v>84.39</v>
      </c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1:15" ht="15.75" x14ac:dyDescent="0.25">
      <c r="A265" s="45"/>
      <c r="B265" s="45" t="s">
        <v>34</v>
      </c>
      <c r="C265" s="45">
        <v>10.63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</row>
    <row r="266" spans="1:15" ht="15.75" x14ac:dyDescent="0.25">
      <c r="A266" s="45"/>
      <c r="B266" s="45" t="s">
        <v>41</v>
      </c>
      <c r="C266" s="45">
        <v>8.51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1:15" ht="15.75" x14ac:dyDescent="0.25">
      <c r="A267" s="45"/>
      <c r="B267" s="45" t="s">
        <v>46</v>
      </c>
      <c r="C267" s="45">
        <v>3.54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</row>
    <row r="268" spans="1:15" ht="15.75" x14ac:dyDescent="0.25">
      <c r="A268" s="45"/>
      <c r="B268" s="45" t="s">
        <v>54</v>
      </c>
      <c r="C268" s="45">
        <v>21.06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</row>
    <row r="269" spans="1:15" ht="15.75" x14ac:dyDescent="0.25">
      <c r="A269" s="45"/>
      <c r="B269" s="45" t="s">
        <v>36</v>
      </c>
      <c r="C269" s="45">
        <v>17.78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</row>
    <row r="270" spans="1:15" ht="15.75" x14ac:dyDescent="0.25">
      <c r="A270" s="45"/>
      <c r="B270" s="45" t="s">
        <v>77</v>
      </c>
      <c r="C270" s="45">
        <v>141.9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</row>
    <row r="271" spans="1:15" ht="15.75" x14ac:dyDescent="0.25">
      <c r="A271" s="45">
        <v>490</v>
      </c>
      <c r="B271" s="44" t="s">
        <v>112</v>
      </c>
      <c r="C271" s="45">
        <v>200</v>
      </c>
      <c r="D271" s="45">
        <v>0.3</v>
      </c>
      <c r="E271" s="45">
        <v>0.1</v>
      </c>
      <c r="F271" s="45">
        <v>11.3</v>
      </c>
      <c r="G271" s="45">
        <v>48</v>
      </c>
      <c r="H271" s="45">
        <v>0.01</v>
      </c>
      <c r="I271" s="45">
        <v>21.7</v>
      </c>
      <c r="J271" s="45">
        <v>0</v>
      </c>
      <c r="K271" s="45">
        <v>0.2</v>
      </c>
      <c r="L271" s="45">
        <v>10.8</v>
      </c>
      <c r="M271" s="45">
        <v>9.1999999999999993</v>
      </c>
      <c r="N271" s="45">
        <v>8.9</v>
      </c>
      <c r="O271" s="45">
        <v>0.41</v>
      </c>
    </row>
    <row r="272" spans="1:15" ht="15.75" x14ac:dyDescent="0.25">
      <c r="A272" s="45"/>
      <c r="B272" s="45" t="s">
        <v>22</v>
      </c>
      <c r="C272" s="45">
        <v>10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</row>
    <row r="273" spans="1:15" ht="15.75" x14ac:dyDescent="0.25">
      <c r="A273" s="45"/>
      <c r="B273" s="45" t="s">
        <v>113</v>
      </c>
      <c r="C273" s="45">
        <v>30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</row>
    <row r="274" spans="1:15" ht="15.75" x14ac:dyDescent="0.25">
      <c r="A274" s="45"/>
      <c r="B274" s="44" t="s">
        <v>107</v>
      </c>
      <c r="C274" s="45">
        <v>40</v>
      </c>
      <c r="D274" s="45">
        <v>3.04</v>
      </c>
      <c r="E274" s="45">
        <v>0.32</v>
      </c>
      <c r="F274" s="45">
        <v>19.68</v>
      </c>
      <c r="G274" s="45">
        <v>94</v>
      </c>
      <c r="H274" s="45">
        <v>0.04</v>
      </c>
      <c r="I274" s="45">
        <v>0</v>
      </c>
      <c r="J274" s="45">
        <v>0</v>
      </c>
      <c r="K274" s="45">
        <v>0.44</v>
      </c>
      <c r="L274" s="45">
        <v>8</v>
      </c>
      <c r="M274" s="45">
        <v>26</v>
      </c>
      <c r="N274" s="45">
        <v>5.6</v>
      </c>
      <c r="O274" s="45">
        <v>0.44</v>
      </c>
    </row>
    <row r="275" spans="1:15" ht="15.75" x14ac:dyDescent="0.25">
      <c r="A275" s="45"/>
      <c r="B275" s="44" t="s">
        <v>73</v>
      </c>
      <c r="C275" s="45">
        <v>30</v>
      </c>
      <c r="D275" s="45">
        <v>2.64</v>
      </c>
      <c r="E275" s="45">
        <v>0.48</v>
      </c>
      <c r="F275" s="45">
        <v>13.36</v>
      </c>
      <c r="G275" s="45">
        <v>69.599999999999994</v>
      </c>
      <c r="H275" s="45">
        <v>7.0000000000000007E-2</v>
      </c>
      <c r="I275" s="45">
        <v>0</v>
      </c>
      <c r="J275" s="45">
        <v>0</v>
      </c>
      <c r="K275" s="45">
        <v>0.56000000000000005</v>
      </c>
      <c r="L275" s="45">
        <v>14</v>
      </c>
      <c r="M275" s="45">
        <v>63.2</v>
      </c>
      <c r="N275" s="45">
        <v>18.8</v>
      </c>
      <c r="O275" s="45">
        <v>1.56</v>
      </c>
    </row>
    <row r="276" spans="1:15" s="7" customFormat="1" ht="15.75" x14ac:dyDescent="0.25">
      <c r="A276" s="44"/>
      <c r="B276" s="44" t="s">
        <v>347</v>
      </c>
      <c r="C276" s="44"/>
      <c r="D276" s="44">
        <f>D277+D284</f>
        <v>8.8000000000000007</v>
      </c>
      <c r="E276" s="44">
        <f t="shared" ref="E276:O276" si="12">E277+E284</f>
        <v>0.5</v>
      </c>
      <c r="F276" s="44">
        <f t="shared" si="12"/>
        <v>16.899999999999999</v>
      </c>
      <c r="G276" s="44">
        <f t="shared" si="12"/>
        <v>385</v>
      </c>
      <c r="H276" s="44">
        <f t="shared" si="12"/>
        <v>0.13</v>
      </c>
      <c r="I276" s="44">
        <f t="shared" si="12"/>
        <v>0.2</v>
      </c>
      <c r="J276" s="44">
        <f t="shared" si="12"/>
        <v>0.04</v>
      </c>
      <c r="K276" s="44">
        <f t="shared" si="12"/>
        <v>1.3</v>
      </c>
      <c r="L276" s="44">
        <f t="shared" si="12"/>
        <v>28</v>
      </c>
      <c r="M276" s="44">
        <f t="shared" si="12"/>
        <v>104</v>
      </c>
      <c r="N276" s="44">
        <f t="shared" si="12"/>
        <v>30</v>
      </c>
      <c r="O276" s="44">
        <f t="shared" si="12"/>
        <v>1</v>
      </c>
    </row>
    <row r="277" spans="1:15" ht="15.75" x14ac:dyDescent="0.25">
      <c r="A277" s="45"/>
      <c r="B277" s="44" t="s">
        <v>286</v>
      </c>
      <c r="C277" s="45">
        <v>100</v>
      </c>
      <c r="D277" s="45">
        <v>8.8000000000000007</v>
      </c>
      <c r="E277" s="45">
        <v>0.5</v>
      </c>
      <c r="F277" s="45">
        <v>16.899999999999999</v>
      </c>
      <c r="G277" s="45">
        <v>385</v>
      </c>
      <c r="H277" s="45">
        <v>0.13</v>
      </c>
      <c r="I277" s="45">
        <v>0.2</v>
      </c>
      <c r="J277" s="45">
        <v>0.04</v>
      </c>
      <c r="K277" s="45">
        <v>1.3</v>
      </c>
      <c r="L277" s="45">
        <v>28</v>
      </c>
      <c r="M277" s="45">
        <v>104</v>
      </c>
      <c r="N277" s="45">
        <v>30</v>
      </c>
      <c r="O277" s="45">
        <v>1</v>
      </c>
    </row>
    <row r="278" spans="1:15" ht="15.75" x14ac:dyDescent="0.25">
      <c r="A278" s="45"/>
      <c r="B278" s="45" t="s">
        <v>46</v>
      </c>
      <c r="C278" s="45">
        <v>50</v>
      </c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</row>
    <row r="279" spans="1:15" ht="15.75" x14ac:dyDescent="0.25">
      <c r="A279" s="45"/>
      <c r="B279" s="45" t="s">
        <v>22</v>
      </c>
      <c r="C279" s="45">
        <v>7.5</v>
      </c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</row>
    <row r="280" spans="1:15" ht="15.75" x14ac:dyDescent="0.25">
      <c r="A280" s="45"/>
      <c r="B280" s="45" t="s">
        <v>23</v>
      </c>
      <c r="C280" s="45">
        <v>5</v>
      </c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</row>
    <row r="281" spans="1:15" ht="15.75" x14ac:dyDescent="0.25">
      <c r="A281" s="45"/>
      <c r="B281" s="45" t="s">
        <v>96</v>
      </c>
      <c r="C281" s="45">
        <v>3</v>
      </c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</row>
    <row r="282" spans="1:15" ht="15.75" x14ac:dyDescent="0.25">
      <c r="A282" s="45"/>
      <c r="B282" s="45" t="s">
        <v>301</v>
      </c>
      <c r="C282" s="45">
        <v>2</v>
      </c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</row>
    <row r="283" spans="1:15" ht="15.75" x14ac:dyDescent="0.25">
      <c r="A283" s="45"/>
      <c r="B283" s="45" t="s">
        <v>302</v>
      </c>
      <c r="C283" s="45">
        <v>2</v>
      </c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</row>
    <row r="284" spans="1:15" ht="15.75" x14ac:dyDescent="0.25">
      <c r="A284" s="45"/>
      <c r="B284" s="44" t="s">
        <v>114</v>
      </c>
      <c r="C284" s="45">
        <v>200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s="7" customFormat="1" ht="15.75" x14ac:dyDescent="0.25">
      <c r="A285" s="44"/>
      <c r="B285" s="44" t="s">
        <v>66</v>
      </c>
      <c r="C285" s="44"/>
      <c r="D285" s="44">
        <f t="shared" ref="D285:O285" si="13">D196+D220+D252+D276</f>
        <v>107.04</v>
      </c>
      <c r="E285" s="44">
        <f t="shared" si="13"/>
        <v>104.16466666666666</v>
      </c>
      <c r="F285" s="44">
        <f t="shared" si="13"/>
        <v>276.10999999999996</v>
      </c>
      <c r="G285" s="44">
        <f t="shared" si="13"/>
        <v>2761.6000000000004</v>
      </c>
      <c r="H285" s="44">
        <f t="shared" si="13"/>
        <v>1.1579999999999999</v>
      </c>
      <c r="I285" s="44">
        <f t="shared" si="13"/>
        <v>88.302999999999997</v>
      </c>
      <c r="J285" s="44">
        <f t="shared" si="13"/>
        <v>156.66</v>
      </c>
      <c r="K285" s="44">
        <f t="shared" si="13"/>
        <v>18.141061712010615</v>
      </c>
      <c r="L285" s="44">
        <f t="shared" si="13"/>
        <v>680.31000000000006</v>
      </c>
      <c r="M285" s="44">
        <f t="shared" si="13"/>
        <v>1373.62</v>
      </c>
      <c r="N285" s="44">
        <f t="shared" si="13"/>
        <v>342.38</v>
      </c>
      <c r="O285" s="44">
        <f t="shared" si="13"/>
        <v>18.298928998009288</v>
      </c>
    </row>
    <row r="286" spans="1:15" ht="15.75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</row>
    <row r="287" spans="1:15" ht="18" x14ac:dyDescent="0.25">
      <c r="A287" s="1" t="s">
        <v>115</v>
      </c>
    </row>
    <row r="289" spans="1:15" ht="15.75" x14ac:dyDescent="0.25">
      <c r="A289" s="2" t="s">
        <v>19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</row>
    <row r="290" spans="1:15" ht="15" x14ac:dyDescent="0.2">
      <c r="A290" s="62" t="s">
        <v>17</v>
      </c>
      <c r="B290" s="61" t="s">
        <v>0</v>
      </c>
      <c r="C290" s="61" t="s">
        <v>1</v>
      </c>
      <c r="D290" s="63" t="s">
        <v>9</v>
      </c>
      <c r="E290" s="64"/>
      <c r="F290" s="65"/>
      <c r="G290" s="61" t="s">
        <v>10</v>
      </c>
      <c r="H290" s="61" t="s">
        <v>7</v>
      </c>
      <c r="I290" s="61"/>
      <c r="J290" s="61"/>
      <c r="K290" s="61"/>
      <c r="L290" s="61" t="s">
        <v>8</v>
      </c>
      <c r="M290" s="61"/>
      <c r="N290" s="61"/>
      <c r="O290" s="61"/>
    </row>
    <row r="291" spans="1:15" ht="30" x14ac:dyDescent="0.2">
      <c r="A291" s="62"/>
      <c r="B291" s="61"/>
      <c r="C291" s="61"/>
      <c r="D291" s="41" t="s">
        <v>2</v>
      </c>
      <c r="E291" s="42" t="s">
        <v>3</v>
      </c>
      <c r="F291" s="42" t="s">
        <v>4</v>
      </c>
      <c r="G291" s="61"/>
      <c r="H291" s="42" t="s">
        <v>11</v>
      </c>
      <c r="I291" s="42" t="s">
        <v>12</v>
      </c>
      <c r="J291" s="42" t="s">
        <v>13</v>
      </c>
      <c r="K291" s="42" t="s">
        <v>5</v>
      </c>
      <c r="L291" s="43" t="s">
        <v>14</v>
      </c>
      <c r="M291" s="42" t="s">
        <v>15</v>
      </c>
      <c r="N291" s="42" t="s">
        <v>6</v>
      </c>
      <c r="O291" s="42" t="s">
        <v>16</v>
      </c>
    </row>
    <row r="292" spans="1:15" s="7" customFormat="1" ht="15.75" x14ac:dyDescent="0.25">
      <c r="A292" s="44"/>
      <c r="B292" s="44" t="s">
        <v>370</v>
      </c>
      <c r="C292" s="44"/>
      <c r="D292" s="44">
        <f t="shared" ref="D292:O292" si="14">D293+D296+D303+D306+D307</f>
        <v>30.980000000000004</v>
      </c>
      <c r="E292" s="44">
        <f t="shared" si="14"/>
        <v>30.5</v>
      </c>
      <c r="F292" s="44">
        <f t="shared" si="14"/>
        <v>64.94</v>
      </c>
      <c r="G292" s="44">
        <f t="shared" si="14"/>
        <v>659.6</v>
      </c>
      <c r="H292" s="44">
        <f t="shared" si="14"/>
        <v>0.26</v>
      </c>
      <c r="I292" s="44">
        <f t="shared" si="14"/>
        <v>0.60000000000000009</v>
      </c>
      <c r="J292" s="44">
        <f t="shared" si="14"/>
        <v>301</v>
      </c>
      <c r="K292" s="44">
        <f t="shared" si="14"/>
        <v>1.9899999999999998</v>
      </c>
      <c r="L292" s="44">
        <f t="shared" si="14"/>
        <v>512.1</v>
      </c>
      <c r="M292" s="44">
        <f t="shared" si="14"/>
        <v>558.5</v>
      </c>
      <c r="N292" s="44">
        <f t="shared" si="14"/>
        <v>73.7</v>
      </c>
      <c r="O292" s="44">
        <f t="shared" si="14"/>
        <v>5.0200000000000005</v>
      </c>
    </row>
    <row r="293" spans="1:15" ht="15.75" x14ac:dyDescent="0.25">
      <c r="A293" s="45">
        <v>58</v>
      </c>
      <c r="B293" s="44" t="s">
        <v>328</v>
      </c>
      <c r="C293" s="45">
        <v>35</v>
      </c>
      <c r="D293" s="45">
        <v>4.0999999999999996</v>
      </c>
      <c r="E293" s="45">
        <v>6.1</v>
      </c>
      <c r="F293" s="45">
        <v>9.9</v>
      </c>
      <c r="G293" s="45">
        <v>111</v>
      </c>
      <c r="H293" s="45">
        <v>0.05</v>
      </c>
      <c r="I293" s="45">
        <v>0</v>
      </c>
      <c r="J293" s="45">
        <v>0</v>
      </c>
      <c r="K293" s="45">
        <v>0.31</v>
      </c>
      <c r="L293" s="45">
        <v>8.5</v>
      </c>
      <c r="M293" s="45">
        <v>45.4</v>
      </c>
      <c r="N293" s="45">
        <v>6.1</v>
      </c>
      <c r="O293" s="45">
        <v>0.67</v>
      </c>
    </row>
    <row r="294" spans="1:15" ht="15.75" x14ac:dyDescent="0.25">
      <c r="A294" s="45"/>
      <c r="B294" s="45" t="s">
        <v>116</v>
      </c>
      <c r="C294" s="45">
        <v>15</v>
      </c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</row>
    <row r="295" spans="1:15" ht="15.75" x14ac:dyDescent="0.25">
      <c r="A295" s="45"/>
      <c r="B295" s="45" t="s">
        <v>27</v>
      </c>
      <c r="C295" s="45">
        <v>20</v>
      </c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</row>
    <row r="296" spans="1:15" ht="15.75" x14ac:dyDescent="0.25">
      <c r="A296" s="45">
        <v>275</v>
      </c>
      <c r="B296" s="44" t="s">
        <v>117</v>
      </c>
      <c r="C296" s="45">
        <v>140</v>
      </c>
      <c r="D296" s="45">
        <f>9.3*2</f>
        <v>18.600000000000001</v>
      </c>
      <c r="E296" s="45">
        <f>10.2*2</f>
        <v>20.399999999999999</v>
      </c>
      <c r="F296" s="45">
        <f>1.5*2</f>
        <v>3</v>
      </c>
      <c r="G296" s="45">
        <f>135*2</f>
        <v>270</v>
      </c>
      <c r="H296" s="45">
        <f>0.04*2</f>
        <v>0.08</v>
      </c>
      <c r="I296" s="45">
        <f>0.2*2</f>
        <v>0.4</v>
      </c>
      <c r="J296" s="45">
        <f>142.9*2</f>
        <v>285.8</v>
      </c>
      <c r="K296" s="45">
        <f>0.3*2</f>
        <v>0.6</v>
      </c>
      <c r="L296" s="45">
        <f>188.3*2</f>
        <v>376.6</v>
      </c>
      <c r="M296" s="45">
        <f>176.6*2</f>
        <v>353.2</v>
      </c>
      <c r="N296" s="45">
        <f>15.8*2</f>
        <v>31.6</v>
      </c>
      <c r="O296" s="45">
        <f>1.14*2</f>
        <v>2.2799999999999998</v>
      </c>
    </row>
    <row r="297" spans="1:15" ht="15.75" x14ac:dyDescent="0.25">
      <c r="A297" s="45"/>
      <c r="B297" s="45" t="s">
        <v>339</v>
      </c>
      <c r="C297" s="45">
        <f>14.8*2</f>
        <v>29.6</v>
      </c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</row>
    <row r="298" spans="1:15" ht="15.75" x14ac:dyDescent="0.25">
      <c r="A298" s="45"/>
      <c r="B298" s="45" t="s">
        <v>23</v>
      </c>
      <c r="C298" s="45">
        <v>4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</row>
    <row r="299" spans="1:15" ht="15.75" x14ac:dyDescent="0.25">
      <c r="A299" s="45"/>
      <c r="B299" s="45" t="s">
        <v>47</v>
      </c>
      <c r="C299" s="45">
        <f>0.5*2</f>
        <v>1</v>
      </c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</row>
    <row r="300" spans="1:15" ht="15.75" x14ac:dyDescent="0.25">
      <c r="A300" s="45"/>
      <c r="B300" s="45" t="s">
        <v>41</v>
      </c>
      <c r="C300" s="45">
        <v>2</v>
      </c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</row>
    <row r="301" spans="1:15" ht="15.75" x14ac:dyDescent="0.25">
      <c r="A301" s="45"/>
      <c r="B301" s="45" t="s">
        <v>96</v>
      </c>
      <c r="C301" s="45">
        <v>80</v>
      </c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</row>
    <row r="302" spans="1:15" ht="15.75" x14ac:dyDescent="0.25">
      <c r="A302" s="45"/>
      <c r="B302" s="45" t="s">
        <v>25</v>
      </c>
      <c r="C302" s="45">
        <v>50</v>
      </c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</row>
    <row r="303" spans="1:15" ht="31.5" x14ac:dyDescent="0.25">
      <c r="A303" s="45">
        <v>466</v>
      </c>
      <c r="B303" s="44" t="s">
        <v>118</v>
      </c>
      <c r="C303" s="45">
        <v>200</v>
      </c>
      <c r="D303" s="45">
        <v>2.6</v>
      </c>
      <c r="E303" s="45">
        <v>3.2</v>
      </c>
      <c r="F303" s="45">
        <v>19</v>
      </c>
      <c r="G303" s="45">
        <v>115</v>
      </c>
      <c r="H303" s="45">
        <v>0.02</v>
      </c>
      <c r="I303" s="45">
        <v>0.2</v>
      </c>
      <c r="J303" s="45">
        <v>15.2</v>
      </c>
      <c r="K303" s="45">
        <v>0.08</v>
      </c>
      <c r="L303" s="45">
        <v>105</v>
      </c>
      <c r="M303" s="45">
        <v>70.7</v>
      </c>
      <c r="N303" s="45">
        <v>11.6</v>
      </c>
      <c r="O303" s="45">
        <v>7.0000000000000007E-2</v>
      </c>
    </row>
    <row r="304" spans="1:15" ht="31.5" x14ac:dyDescent="0.25">
      <c r="A304" s="45"/>
      <c r="B304" s="45" t="s">
        <v>119</v>
      </c>
      <c r="C304" s="45">
        <v>38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</row>
    <row r="305" spans="1:15" ht="15.75" x14ac:dyDescent="0.25">
      <c r="A305" s="45"/>
      <c r="B305" s="45" t="s">
        <v>120</v>
      </c>
      <c r="C305" s="45">
        <v>2.4</v>
      </c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</row>
    <row r="306" spans="1:15" ht="15.75" x14ac:dyDescent="0.25">
      <c r="A306" s="45"/>
      <c r="B306" s="44" t="s">
        <v>73</v>
      </c>
      <c r="C306" s="45">
        <v>30</v>
      </c>
      <c r="D306" s="45">
        <v>2.64</v>
      </c>
      <c r="E306" s="45">
        <v>0.48</v>
      </c>
      <c r="F306" s="45">
        <v>13.36</v>
      </c>
      <c r="G306" s="45">
        <v>69.599999999999994</v>
      </c>
      <c r="H306" s="45">
        <v>7.0000000000000007E-2</v>
      </c>
      <c r="I306" s="45">
        <v>0</v>
      </c>
      <c r="J306" s="45">
        <v>0</v>
      </c>
      <c r="K306" s="45">
        <v>0.56000000000000005</v>
      </c>
      <c r="L306" s="45">
        <v>14</v>
      </c>
      <c r="M306" s="45">
        <v>63.2</v>
      </c>
      <c r="N306" s="45">
        <v>18.8</v>
      </c>
      <c r="O306" s="45">
        <v>1.56</v>
      </c>
    </row>
    <row r="307" spans="1:15" ht="15.75" x14ac:dyDescent="0.25">
      <c r="A307" s="45"/>
      <c r="B307" s="44" t="s">
        <v>107</v>
      </c>
      <c r="C307" s="45">
        <v>40</v>
      </c>
      <c r="D307" s="45">
        <v>3.04</v>
      </c>
      <c r="E307" s="45">
        <v>0.32</v>
      </c>
      <c r="F307" s="45">
        <v>19.68</v>
      </c>
      <c r="G307" s="45">
        <v>94</v>
      </c>
      <c r="H307" s="45">
        <v>0.04</v>
      </c>
      <c r="I307" s="45">
        <v>0</v>
      </c>
      <c r="J307" s="45">
        <v>0</v>
      </c>
      <c r="K307" s="45">
        <v>0.44</v>
      </c>
      <c r="L307" s="45">
        <v>8</v>
      </c>
      <c r="M307" s="45">
        <v>26</v>
      </c>
      <c r="N307" s="45">
        <v>5.6</v>
      </c>
      <c r="O307" s="45">
        <v>0.44</v>
      </c>
    </row>
    <row r="308" spans="1:15" ht="15.75" x14ac:dyDescent="0.25">
      <c r="A308" s="45"/>
      <c r="B308" s="44" t="s">
        <v>231</v>
      </c>
      <c r="C308" s="45">
        <v>200</v>
      </c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</row>
    <row r="309" spans="1:15" s="7" customFormat="1" ht="15.75" x14ac:dyDescent="0.25">
      <c r="A309" s="44"/>
      <c r="B309" s="44" t="s">
        <v>355</v>
      </c>
      <c r="C309" s="44"/>
      <c r="D309" s="44">
        <f t="shared" ref="D309:O309" si="15">D310+D316+D323+D332+D340+D344+D345</f>
        <v>34.085000000000001</v>
      </c>
      <c r="E309" s="44">
        <f t="shared" si="15"/>
        <v>28.275000000000002</v>
      </c>
      <c r="F309" s="44">
        <f t="shared" si="15"/>
        <v>116.75000000000001</v>
      </c>
      <c r="G309" s="44">
        <f t="shared" si="15"/>
        <v>860.85</v>
      </c>
      <c r="H309" s="44">
        <f t="shared" si="15"/>
        <v>0.42499999999999999</v>
      </c>
      <c r="I309" s="44">
        <f t="shared" si="15"/>
        <v>14.184999999999999</v>
      </c>
      <c r="J309" s="44">
        <f t="shared" si="15"/>
        <v>1.7</v>
      </c>
      <c r="K309" s="44">
        <f t="shared" si="15"/>
        <v>8.7349999999999994</v>
      </c>
      <c r="L309" s="44">
        <f t="shared" si="15"/>
        <v>128.62</v>
      </c>
      <c r="M309" s="44">
        <f t="shared" si="15"/>
        <v>486.60500000000002</v>
      </c>
      <c r="N309" s="44">
        <f t="shared" si="15"/>
        <v>137.64404761904763</v>
      </c>
      <c r="O309" s="44">
        <f t="shared" si="15"/>
        <v>8.4314999999999998</v>
      </c>
    </row>
    <row r="310" spans="1:15" ht="31.5" x14ac:dyDescent="0.25">
      <c r="A310" s="45">
        <v>23</v>
      </c>
      <c r="B310" s="44" t="s">
        <v>121</v>
      </c>
      <c r="C310" s="45">
        <v>60</v>
      </c>
      <c r="D310" s="45">
        <f>1.3/100*60</f>
        <v>0.78</v>
      </c>
      <c r="E310" s="45">
        <f>6.1/100*60</f>
        <v>3.66</v>
      </c>
      <c r="F310" s="45">
        <f>10.1/100*60</f>
        <v>6.06</v>
      </c>
      <c r="G310" s="45">
        <f>101/100*60</f>
        <v>60.6</v>
      </c>
      <c r="H310" s="45">
        <f>0.05/100*60</f>
        <v>0.03</v>
      </c>
      <c r="I310" s="45">
        <f>3.6/100*60</f>
        <v>2.16</v>
      </c>
      <c r="J310" s="45">
        <v>0</v>
      </c>
      <c r="K310" s="45">
        <f>3.3/100*60</f>
        <v>1.98</v>
      </c>
      <c r="L310" s="45">
        <f>30.8/100*60</f>
        <v>18.48</v>
      </c>
      <c r="M310" s="45">
        <f>50/100*60</f>
        <v>30</v>
      </c>
      <c r="N310" s="45">
        <f>35.5/100*60</f>
        <v>21.299999999999997</v>
      </c>
      <c r="O310" s="45">
        <f>0.99/100*60</f>
        <v>0.59399999999999997</v>
      </c>
    </row>
    <row r="311" spans="1:15" ht="15.75" x14ac:dyDescent="0.25">
      <c r="A311" s="45"/>
      <c r="B311" s="45" t="s">
        <v>62</v>
      </c>
      <c r="C311" s="45">
        <f>13.2/100*60</f>
        <v>7.92</v>
      </c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</row>
    <row r="312" spans="1:15" ht="15.75" x14ac:dyDescent="0.25">
      <c r="A312" s="45"/>
      <c r="B312" s="45" t="s">
        <v>22</v>
      </c>
      <c r="C312" s="45">
        <f>1.2/100*60</f>
        <v>0.72</v>
      </c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</row>
    <row r="313" spans="1:15" ht="15.75" x14ac:dyDescent="0.25">
      <c r="A313" s="45"/>
      <c r="B313" s="45" t="s">
        <v>37</v>
      </c>
      <c r="C313" s="45">
        <f>76.4/100*60</f>
        <v>45.84</v>
      </c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</row>
    <row r="314" spans="1:15" ht="15.75" x14ac:dyDescent="0.25">
      <c r="A314" s="45"/>
      <c r="B314" s="45" t="s">
        <v>122</v>
      </c>
      <c r="C314" s="45">
        <f>5.6/100*60</f>
        <v>3.3599999999999994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</row>
    <row r="315" spans="1:15" ht="15.75" x14ac:dyDescent="0.25">
      <c r="A315" s="45"/>
      <c r="B315" s="45" t="s">
        <v>41</v>
      </c>
      <c r="C315" s="45">
        <f>6/100*60</f>
        <v>3.5999999999999996</v>
      </c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</row>
    <row r="316" spans="1:15" ht="31.5" x14ac:dyDescent="0.25">
      <c r="A316" s="45">
        <v>116</v>
      </c>
      <c r="B316" s="45" t="s">
        <v>342</v>
      </c>
      <c r="C316" s="45">
        <v>250</v>
      </c>
      <c r="D316" s="45">
        <f>10.7/1000*250</f>
        <v>2.6749999999999998</v>
      </c>
      <c r="E316" s="45">
        <f>10.3/1000*250</f>
        <v>2.5750000000000002</v>
      </c>
      <c r="F316" s="45">
        <f>67/1000*250</f>
        <v>16.75</v>
      </c>
      <c r="G316" s="45">
        <f>403/1000*250</f>
        <v>100.75</v>
      </c>
      <c r="H316" s="45">
        <f>0.42/1000*250</f>
        <v>0.105</v>
      </c>
      <c r="I316" s="45">
        <f>31.1/1000*250</f>
        <v>7.7750000000000004</v>
      </c>
      <c r="J316" s="45">
        <f>6.8/1000*250</f>
        <v>1.7</v>
      </c>
      <c r="K316" s="45">
        <f>5.5/1000*250</f>
        <v>1.375</v>
      </c>
      <c r="L316" s="45">
        <f>91.6/1000*250</f>
        <v>22.9</v>
      </c>
      <c r="M316" s="45">
        <f>265.9/1000*250</f>
        <v>66.474999999999994</v>
      </c>
      <c r="N316" s="45">
        <f>97.3/1000*250</f>
        <v>24.324999999999999</v>
      </c>
      <c r="O316" s="45">
        <f>4.35/1000*250</f>
        <v>1.0874999999999999</v>
      </c>
    </row>
    <row r="317" spans="1:15" ht="15.75" x14ac:dyDescent="0.25">
      <c r="A317" s="45"/>
      <c r="B317" s="45" t="s">
        <v>36</v>
      </c>
      <c r="C317" s="45">
        <v>10.07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15" ht="15.75" x14ac:dyDescent="0.25">
      <c r="A318" s="45"/>
      <c r="B318" s="45" t="s">
        <v>37</v>
      </c>
      <c r="C318" s="45">
        <v>9.75</v>
      </c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</row>
    <row r="319" spans="1:15" ht="15.75" x14ac:dyDescent="0.25">
      <c r="A319" s="45"/>
      <c r="B319" s="45" t="s">
        <v>47</v>
      </c>
      <c r="C319" s="45">
        <v>2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</row>
    <row r="320" spans="1:15" ht="15.75" x14ac:dyDescent="0.25">
      <c r="A320" s="45"/>
      <c r="B320" s="45" t="s">
        <v>123</v>
      </c>
      <c r="C320" s="45">
        <v>10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</row>
    <row r="321" spans="1:15" ht="15.75" x14ac:dyDescent="0.25">
      <c r="A321" s="45"/>
      <c r="B321" s="45" t="s">
        <v>77</v>
      </c>
      <c r="C321" s="45">
        <v>75</v>
      </c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</row>
    <row r="322" spans="1:15" ht="15.75" x14ac:dyDescent="0.25">
      <c r="A322" s="45"/>
      <c r="B322" s="45" t="s">
        <v>41</v>
      </c>
      <c r="C322" s="45">
        <v>2.5</v>
      </c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</row>
    <row r="323" spans="1:15" ht="31.5" x14ac:dyDescent="0.25">
      <c r="A323" s="45">
        <v>324</v>
      </c>
      <c r="B323" s="44" t="s">
        <v>124</v>
      </c>
      <c r="C323" s="45">
        <v>100</v>
      </c>
      <c r="D323" s="45">
        <v>20.95</v>
      </c>
      <c r="E323" s="45">
        <v>17.04</v>
      </c>
      <c r="F323" s="45">
        <f>16.8/105*100</f>
        <v>16</v>
      </c>
      <c r="G323" s="45">
        <v>301.89999999999998</v>
      </c>
      <c r="H323" s="45">
        <v>0.12</v>
      </c>
      <c r="I323" s="45">
        <v>0.85</v>
      </c>
      <c r="J323" s="45">
        <v>0</v>
      </c>
      <c r="K323" s="45">
        <v>2.2799999999999998</v>
      </c>
      <c r="L323" s="45">
        <v>35.04</v>
      </c>
      <c r="M323" s="45">
        <v>209.33</v>
      </c>
      <c r="N323" s="45">
        <f>33.2/105*100</f>
        <v>31.619047619047624</v>
      </c>
      <c r="O323" s="45">
        <v>3.61</v>
      </c>
    </row>
    <row r="324" spans="1:15" ht="15.75" x14ac:dyDescent="0.25">
      <c r="A324" s="45"/>
      <c r="B324" s="45" t="s">
        <v>329</v>
      </c>
      <c r="C324" s="45">
        <v>9.52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</row>
    <row r="325" spans="1:15" ht="15.75" x14ac:dyDescent="0.25">
      <c r="A325" s="45"/>
      <c r="B325" s="45" t="s">
        <v>125</v>
      </c>
      <c r="C325" s="45">
        <v>119.04</v>
      </c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</row>
    <row r="326" spans="1:15" ht="15.75" x14ac:dyDescent="0.25">
      <c r="A326" s="45"/>
      <c r="B326" s="45" t="s">
        <v>34</v>
      </c>
      <c r="C326" s="45">
        <v>14.28</v>
      </c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</row>
    <row r="327" spans="1:15" ht="15.75" x14ac:dyDescent="0.25">
      <c r="A327" s="45"/>
      <c r="B327" s="45" t="s">
        <v>47</v>
      </c>
      <c r="C327" s="45">
        <v>0.38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</row>
    <row r="328" spans="1:15" ht="15.75" x14ac:dyDescent="0.25">
      <c r="A328" s="45"/>
      <c r="B328" s="45" t="s">
        <v>22</v>
      </c>
      <c r="C328" s="45">
        <v>7.61</v>
      </c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</row>
    <row r="329" spans="1:15" ht="15.75" x14ac:dyDescent="0.25">
      <c r="A329" s="45"/>
      <c r="B329" s="45" t="s">
        <v>41</v>
      </c>
      <c r="C329" s="45">
        <v>3.8</v>
      </c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</row>
    <row r="330" spans="1:15" ht="15.75" x14ac:dyDescent="0.25">
      <c r="A330" s="45"/>
      <c r="B330" s="45" t="s">
        <v>36</v>
      </c>
      <c r="C330" s="45">
        <v>19.14</v>
      </c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</row>
    <row r="331" spans="1:15" ht="15.75" x14ac:dyDescent="0.25">
      <c r="A331" s="45"/>
      <c r="B331" s="45" t="s">
        <v>42</v>
      </c>
      <c r="C331" s="45">
        <v>4.76</v>
      </c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</row>
    <row r="332" spans="1:15" ht="15.75" x14ac:dyDescent="0.25">
      <c r="A332" s="45">
        <v>237</v>
      </c>
      <c r="B332" s="44" t="s">
        <v>126</v>
      </c>
      <c r="C332" s="45">
        <v>150</v>
      </c>
      <c r="D332" s="45">
        <v>3.8</v>
      </c>
      <c r="E332" s="45">
        <v>4.0999999999999996</v>
      </c>
      <c r="F332" s="45">
        <v>31.4</v>
      </c>
      <c r="G332" s="45">
        <v>178</v>
      </c>
      <c r="H332" s="45">
        <v>0.05</v>
      </c>
      <c r="I332" s="45">
        <v>1.7</v>
      </c>
      <c r="J332" s="45">
        <v>0</v>
      </c>
      <c r="K332" s="45">
        <v>2</v>
      </c>
      <c r="L332" s="45">
        <v>19.2</v>
      </c>
      <c r="M332" s="45">
        <v>83.9</v>
      </c>
      <c r="N332" s="45">
        <v>29.3</v>
      </c>
      <c r="O332" s="45">
        <v>0.46</v>
      </c>
    </row>
    <row r="333" spans="1:15" ht="15.75" x14ac:dyDescent="0.25">
      <c r="A333" s="45"/>
      <c r="B333" s="45" t="s">
        <v>44</v>
      </c>
      <c r="C333" s="45">
        <v>39.6</v>
      </c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</row>
    <row r="334" spans="1:15" ht="15.75" x14ac:dyDescent="0.25">
      <c r="A334" s="45"/>
      <c r="B334" s="45" t="s">
        <v>330</v>
      </c>
      <c r="C334" s="45">
        <v>10</v>
      </c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1:15" ht="15.75" x14ac:dyDescent="0.25">
      <c r="A335" s="45"/>
      <c r="B335" s="45" t="s">
        <v>36</v>
      </c>
      <c r="C335" s="45">
        <v>21</v>
      </c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</row>
    <row r="336" spans="1:15" ht="15.75" x14ac:dyDescent="0.25">
      <c r="A336" s="45"/>
      <c r="B336" s="45" t="s">
        <v>331</v>
      </c>
      <c r="C336" s="45">
        <v>10</v>
      </c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</row>
    <row r="337" spans="1:15" ht="15.75" x14ac:dyDescent="0.25">
      <c r="A337" s="45"/>
      <c r="B337" s="45" t="s">
        <v>47</v>
      </c>
      <c r="C337" s="45">
        <v>1</v>
      </c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</row>
    <row r="338" spans="1:15" ht="15.75" x14ac:dyDescent="0.25">
      <c r="A338" s="45"/>
      <c r="B338" s="45" t="s">
        <v>41</v>
      </c>
      <c r="C338" s="45">
        <v>4</v>
      </c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</row>
    <row r="339" spans="1:15" ht="15.75" x14ac:dyDescent="0.25">
      <c r="A339" s="45"/>
      <c r="B339" s="45" t="s">
        <v>37</v>
      </c>
      <c r="C339" s="45">
        <v>13</v>
      </c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</row>
    <row r="340" spans="1:15" ht="15.75" x14ac:dyDescent="0.25">
      <c r="A340" s="45">
        <v>489</v>
      </c>
      <c r="B340" s="44" t="s">
        <v>128</v>
      </c>
      <c r="C340" s="45">
        <v>200</v>
      </c>
      <c r="D340" s="45">
        <v>0.2</v>
      </c>
      <c r="E340" s="45">
        <v>0.1</v>
      </c>
      <c r="F340" s="45">
        <v>13.5</v>
      </c>
      <c r="G340" s="45">
        <v>56</v>
      </c>
      <c r="H340" s="45">
        <v>0.01</v>
      </c>
      <c r="I340" s="45">
        <v>1.7</v>
      </c>
      <c r="J340" s="45">
        <v>0</v>
      </c>
      <c r="K340" s="45">
        <v>0.1</v>
      </c>
      <c r="L340" s="45">
        <v>11</v>
      </c>
      <c r="M340" s="45">
        <v>7.7</v>
      </c>
      <c r="N340" s="45">
        <v>6.7</v>
      </c>
      <c r="O340" s="45">
        <v>0.68</v>
      </c>
    </row>
    <row r="341" spans="1:15" ht="15.75" x14ac:dyDescent="0.25">
      <c r="A341" s="45"/>
      <c r="B341" s="45" t="s">
        <v>62</v>
      </c>
      <c r="C341" s="45">
        <v>26.4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1:15" ht="15.75" x14ac:dyDescent="0.25">
      <c r="A342" s="45"/>
      <c r="B342" s="45" t="s">
        <v>22</v>
      </c>
      <c r="C342" s="45">
        <v>10</v>
      </c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</row>
    <row r="343" spans="1:15" ht="15.75" x14ac:dyDescent="0.25">
      <c r="A343" s="45"/>
      <c r="B343" s="45" t="s">
        <v>130</v>
      </c>
      <c r="C343" s="45">
        <v>18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</row>
    <row r="344" spans="1:15" ht="15.75" x14ac:dyDescent="0.25">
      <c r="A344" s="45"/>
      <c r="B344" s="44" t="s">
        <v>107</v>
      </c>
      <c r="C344" s="45">
        <v>40</v>
      </c>
      <c r="D344" s="45">
        <v>3.04</v>
      </c>
      <c r="E344" s="45">
        <v>0.32</v>
      </c>
      <c r="F344" s="45">
        <v>19.68</v>
      </c>
      <c r="G344" s="45">
        <v>94</v>
      </c>
      <c r="H344" s="45">
        <v>0.04</v>
      </c>
      <c r="I344" s="45">
        <v>0</v>
      </c>
      <c r="J344" s="45">
        <v>0</v>
      </c>
      <c r="K344" s="45">
        <v>0.44</v>
      </c>
      <c r="L344" s="45">
        <v>8</v>
      </c>
      <c r="M344" s="45">
        <v>26</v>
      </c>
      <c r="N344" s="45">
        <v>5.6</v>
      </c>
      <c r="O344" s="45">
        <v>0.44</v>
      </c>
    </row>
    <row r="345" spans="1:15" ht="15.75" x14ac:dyDescent="0.25">
      <c r="A345" s="45"/>
      <c r="B345" s="44" t="s">
        <v>73</v>
      </c>
      <c r="C345" s="45">
        <v>30</v>
      </c>
      <c r="D345" s="45">
        <v>2.64</v>
      </c>
      <c r="E345" s="45">
        <v>0.48</v>
      </c>
      <c r="F345" s="45">
        <v>13.36</v>
      </c>
      <c r="G345" s="45">
        <v>69.599999999999994</v>
      </c>
      <c r="H345" s="45">
        <v>7.0000000000000007E-2</v>
      </c>
      <c r="I345" s="45">
        <v>0</v>
      </c>
      <c r="J345" s="45">
        <v>0</v>
      </c>
      <c r="K345" s="45">
        <v>0.56000000000000005</v>
      </c>
      <c r="L345" s="45">
        <v>14</v>
      </c>
      <c r="M345" s="45">
        <v>63.2</v>
      </c>
      <c r="N345" s="45">
        <v>18.8</v>
      </c>
      <c r="O345" s="45">
        <v>1.56</v>
      </c>
    </row>
    <row r="346" spans="1:15" s="7" customFormat="1" ht="15.75" x14ac:dyDescent="0.25">
      <c r="A346" s="44"/>
      <c r="B346" s="44" t="s">
        <v>371</v>
      </c>
      <c r="C346" s="44"/>
      <c r="D346" s="44">
        <f t="shared" ref="D346:O346" si="16">D347+D351+D360+D368+D377+D380+D381</f>
        <v>30.315000000000001</v>
      </c>
      <c r="E346" s="44">
        <f t="shared" si="16"/>
        <v>21.710000000000004</v>
      </c>
      <c r="F346" s="44">
        <f t="shared" si="16"/>
        <v>75.414999999999992</v>
      </c>
      <c r="G346" s="44">
        <f t="shared" si="16"/>
        <v>619.75000000000011</v>
      </c>
      <c r="H346" s="44">
        <f t="shared" si="16"/>
        <v>0.38349999999999995</v>
      </c>
      <c r="I346" s="44">
        <f t="shared" si="16"/>
        <v>40.89</v>
      </c>
      <c r="J346" s="44">
        <f t="shared" si="16"/>
        <v>85.47</v>
      </c>
      <c r="K346" s="44">
        <f t="shared" si="16"/>
        <v>6.08</v>
      </c>
      <c r="L346" s="44">
        <f t="shared" si="16"/>
        <v>208.14000000000001</v>
      </c>
      <c r="M346" s="44">
        <f t="shared" si="16"/>
        <v>490.88499999999999</v>
      </c>
      <c r="N346" s="44">
        <f t="shared" si="16"/>
        <v>128.86499999999998</v>
      </c>
      <c r="O346" s="44">
        <f t="shared" si="16"/>
        <v>6.7775000000000016</v>
      </c>
    </row>
    <row r="347" spans="1:15" ht="31.5" x14ac:dyDescent="0.25">
      <c r="A347" s="45">
        <v>18</v>
      </c>
      <c r="B347" s="44" t="s">
        <v>202</v>
      </c>
      <c r="C347" s="45">
        <v>60</v>
      </c>
      <c r="D347" s="45">
        <f>1/100*60</f>
        <v>0.6</v>
      </c>
      <c r="E347" s="45">
        <f>6.2/100*60</f>
        <v>3.7199999999999998</v>
      </c>
      <c r="F347" s="45">
        <f>3.5/100*60</f>
        <v>2.1</v>
      </c>
      <c r="G347" s="45">
        <f>73/100*60</f>
        <v>43.8</v>
      </c>
      <c r="H347" s="45">
        <f>0.05/100*60</f>
        <v>0.03</v>
      </c>
      <c r="I347" s="45">
        <f>13.4/100*60</f>
        <v>8.0400000000000009</v>
      </c>
      <c r="J347" s="45">
        <v>0</v>
      </c>
      <c r="K347" s="45">
        <f>3.9/100*60</f>
        <v>2.34</v>
      </c>
      <c r="L347" s="45">
        <f>17.5/100*60</f>
        <v>10.5</v>
      </c>
      <c r="M347" s="45">
        <f>30.6/100*60</f>
        <v>18.36</v>
      </c>
      <c r="N347" s="45">
        <f>16.3/100*60</f>
        <v>9.7800000000000011</v>
      </c>
      <c r="O347" s="45">
        <f>0.72/100*60</f>
        <v>0.432</v>
      </c>
    </row>
    <row r="348" spans="1:15" ht="15.75" x14ac:dyDescent="0.25">
      <c r="A348" s="45"/>
      <c r="B348" s="45" t="s">
        <v>129</v>
      </c>
      <c r="C348" s="45">
        <f>48.4/100*60</f>
        <v>29.04</v>
      </c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</row>
    <row r="349" spans="1:15" ht="15.75" x14ac:dyDescent="0.25">
      <c r="A349" s="45"/>
      <c r="B349" s="45" t="s">
        <v>131</v>
      </c>
      <c r="C349" s="45">
        <f>34.4/100*60</f>
        <v>20.639999999999997</v>
      </c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</row>
    <row r="350" spans="1:15" ht="15.75" x14ac:dyDescent="0.25">
      <c r="A350" s="45"/>
      <c r="B350" s="45" t="s">
        <v>41</v>
      </c>
      <c r="C350" s="45">
        <f>6/100*60</f>
        <v>3.5999999999999996</v>
      </c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</row>
    <row r="351" spans="1:15" ht="31.5" x14ac:dyDescent="0.25">
      <c r="A351" s="45">
        <v>124</v>
      </c>
      <c r="B351" s="44" t="s">
        <v>132</v>
      </c>
      <c r="C351" s="45">
        <v>250</v>
      </c>
      <c r="D351" s="45">
        <f>37.1/1000*250</f>
        <v>9.2750000000000004</v>
      </c>
      <c r="E351" s="45">
        <f>32.6/1000*250</f>
        <v>8.15</v>
      </c>
      <c r="F351" s="45">
        <f>59.3/1000*250</f>
        <v>14.824999999999999</v>
      </c>
      <c r="G351" s="45">
        <f>679/1000*250</f>
        <v>169.75</v>
      </c>
      <c r="H351" s="45">
        <f>0.57/1000*250</f>
        <v>0.14249999999999999</v>
      </c>
      <c r="I351" s="45">
        <f>41.8/1000*250</f>
        <v>10.45</v>
      </c>
      <c r="J351" s="45">
        <f>28.4/1000*250</f>
        <v>7.1</v>
      </c>
      <c r="K351" s="45">
        <f>5.8/1000*250</f>
        <v>1.45</v>
      </c>
      <c r="L351" s="45">
        <f>114.6/1000*250</f>
        <v>28.65</v>
      </c>
      <c r="M351" s="45">
        <f>585.1/1000*250</f>
        <v>146.27500000000001</v>
      </c>
      <c r="N351" s="45">
        <f>152.3/1000*250</f>
        <v>38.075000000000003</v>
      </c>
      <c r="O351" s="45">
        <f>9.07/1000*250</f>
        <v>2.2675000000000001</v>
      </c>
    </row>
    <row r="352" spans="1:15" ht="15.75" x14ac:dyDescent="0.25">
      <c r="A352" s="45"/>
      <c r="B352" s="45" t="s">
        <v>77</v>
      </c>
      <c r="C352" s="45">
        <f>399.7/1000*250</f>
        <v>99.924999999999997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</row>
    <row r="353" spans="1:15" ht="15.75" x14ac:dyDescent="0.25">
      <c r="A353" s="45"/>
      <c r="B353" s="45" t="s">
        <v>36</v>
      </c>
      <c r="C353" s="45">
        <f>40/1000*250</f>
        <v>10</v>
      </c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</row>
    <row r="354" spans="1:15" ht="15.75" x14ac:dyDescent="0.25">
      <c r="A354" s="45"/>
      <c r="B354" s="45" t="s">
        <v>37</v>
      </c>
      <c r="C354" s="45">
        <f>39/1000*250</f>
        <v>9.75</v>
      </c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</row>
    <row r="355" spans="1:15" ht="15.75" x14ac:dyDescent="0.25">
      <c r="A355" s="45"/>
      <c r="B355" s="45" t="s">
        <v>41</v>
      </c>
      <c r="C355" s="45">
        <f>10/1000*250</f>
        <v>2.5</v>
      </c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</row>
    <row r="356" spans="1:15" ht="15.75" x14ac:dyDescent="0.25">
      <c r="A356" s="45"/>
      <c r="B356" s="45" t="s">
        <v>34</v>
      </c>
      <c r="C356" s="45">
        <v>2.5</v>
      </c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</row>
    <row r="357" spans="1:15" ht="15.75" x14ac:dyDescent="0.25">
      <c r="A357" s="45"/>
      <c r="B357" s="45" t="s">
        <v>47</v>
      </c>
      <c r="C357" s="45">
        <f>8/1000*250</f>
        <v>2</v>
      </c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</row>
    <row r="358" spans="1:15" ht="15.75" x14ac:dyDescent="0.25">
      <c r="A358" s="45"/>
      <c r="B358" s="45" t="s">
        <v>96</v>
      </c>
      <c r="C358" s="45">
        <v>2.0099999999999998</v>
      </c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</row>
    <row r="359" spans="1:15" ht="15.75" x14ac:dyDescent="0.25">
      <c r="A359" s="45"/>
      <c r="B359" s="45" t="s">
        <v>133</v>
      </c>
      <c r="C359" s="45">
        <f>1162/1000*25</f>
        <v>29.049999999999997</v>
      </c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</row>
    <row r="360" spans="1:15" ht="15.75" x14ac:dyDescent="0.25">
      <c r="A360" s="45">
        <v>303</v>
      </c>
      <c r="B360" s="44" t="s">
        <v>134</v>
      </c>
      <c r="C360" s="45">
        <v>80</v>
      </c>
      <c r="D360" s="45">
        <f>14.2/100*80</f>
        <v>11.36</v>
      </c>
      <c r="E360" s="45">
        <f>4.8/100*80</f>
        <v>3.84</v>
      </c>
      <c r="F360" s="45">
        <f>3/100*80</f>
        <v>2.4</v>
      </c>
      <c r="G360" s="45">
        <f>112/100*80</f>
        <v>89.600000000000009</v>
      </c>
      <c r="H360" s="45">
        <f>0.07/100*80</f>
        <v>5.6000000000000008E-2</v>
      </c>
      <c r="I360" s="45">
        <f>0.5/100*80</f>
        <v>0.4</v>
      </c>
      <c r="J360" s="45">
        <f>65.9/100*80</f>
        <v>52.72</v>
      </c>
      <c r="K360" s="45">
        <f>0.8/100*80</f>
        <v>0.64</v>
      </c>
      <c r="L360" s="45">
        <f>64.3/100*80</f>
        <v>51.44</v>
      </c>
      <c r="M360" s="45">
        <f>209.5/100*80</f>
        <v>167.60000000000002</v>
      </c>
      <c r="N360" s="45">
        <f>26.2/100*80</f>
        <v>20.96</v>
      </c>
      <c r="O360" s="45">
        <f>0.81/100*80</f>
        <v>0.64800000000000013</v>
      </c>
    </row>
    <row r="361" spans="1:15" ht="15.75" x14ac:dyDescent="0.25">
      <c r="A361" s="45"/>
      <c r="B361" s="45" t="s">
        <v>296</v>
      </c>
      <c r="C361" s="45">
        <f>73/100*80</f>
        <v>58.4</v>
      </c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</row>
    <row r="362" spans="1:15" ht="15.75" x14ac:dyDescent="0.25">
      <c r="A362" s="45"/>
      <c r="B362" s="45" t="s">
        <v>46</v>
      </c>
      <c r="C362" s="45">
        <f>2.4/100*80</f>
        <v>1.92</v>
      </c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</row>
    <row r="363" spans="1:15" ht="15.75" x14ac:dyDescent="0.25">
      <c r="A363" s="45"/>
      <c r="B363" s="45" t="s">
        <v>25</v>
      </c>
      <c r="C363" s="45">
        <f>30/100*80</f>
        <v>24</v>
      </c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</row>
    <row r="364" spans="1:15" ht="15.75" x14ac:dyDescent="0.25">
      <c r="A364" s="45"/>
      <c r="B364" s="45" t="s">
        <v>47</v>
      </c>
      <c r="C364" s="45">
        <f>1/100*80</f>
        <v>0.8</v>
      </c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</row>
    <row r="365" spans="1:15" ht="15.75" x14ac:dyDescent="0.25">
      <c r="A365" s="45"/>
      <c r="B365" s="45" t="s">
        <v>41</v>
      </c>
      <c r="C365" s="45">
        <f>2/100*80</f>
        <v>1.6</v>
      </c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</row>
    <row r="366" spans="1:15" ht="15.75" x14ac:dyDescent="0.25">
      <c r="A366" s="45"/>
      <c r="B366" s="45" t="s">
        <v>23</v>
      </c>
      <c r="C366" s="45">
        <f>2.4/100*80</f>
        <v>1.92</v>
      </c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</row>
    <row r="367" spans="1:15" ht="15.75" x14ac:dyDescent="0.25">
      <c r="A367" s="45"/>
      <c r="B367" s="45" t="s">
        <v>96</v>
      </c>
      <c r="C367" s="45">
        <f>17.5/100*80</f>
        <v>14</v>
      </c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</row>
    <row r="368" spans="1:15" ht="15.75" x14ac:dyDescent="0.25">
      <c r="A368" s="45">
        <v>380</v>
      </c>
      <c r="B368" s="44" t="s">
        <v>135</v>
      </c>
      <c r="C368" s="45">
        <v>150</v>
      </c>
      <c r="D368" s="45">
        <f>2.2/100*150</f>
        <v>3.3000000000000003</v>
      </c>
      <c r="E368" s="45">
        <f>3.4/100*150</f>
        <v>5.1000000000000005</v>
      </c>
      <c r="F368" s="45">
        <f>8.1/100*150</f>
        <v>12.15</v>
      </c>
      <c r="G368" s="45">
        <f>72/100*150</f>
        <v>108</v>
      </c>
      <c r="H368" s="45">
        <f>0.03/100*150</f>
        <v>4.4999999999999998E-2</v>
      </c>
      <c r="I368" s="45">
        <f>14.2/100*150</f>
        <v>21.299999999999997</v>
      </c>
      <c r="J368" s="45">
        <f>17.1/100*150</f>
        <v>25.650000000000002</v>
      </c>
      <c r="K368" s="45">
        <f>0.3/100*150</f>
        <v>0.45</v>
      </c>
      <c r="L368" s="45">
        <f>60.1/100*150</f>
        <v>90.149999999999991</v>
      </c>
      <c r="M368" s="45">
        <f>44.3/100*150</f>
        <v>66.449999999999989</v>
      </c>
      <c r="N368" s="45">
        <f>22.9/100*150</f>
        <v>34.349999999999994</v>
      </c>
      <c r="O368" s="45">
        <f>0.88/100*150</f>
        <v>1.32</v>
      </c>
    </row>
    <row r="369" spans="1:15" ht="15.75" x14ac:dyDescent="0.25">
      <c r="A369" s="45"/>
      <c r="B369" s="45" t="s">
        <v>34</v>
      </c>
      <c r="C369" s="45">
        <f>8/100*150</f>
        <v>12</v>
      </c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</row>
    <row r="370" spans="1:15" ht="15.75" x14ac:dyDescent="0.25">
      <c r="A370" s="45"/>
      <c r="B370" s="45" t="s">
        <v>22</v>
      </c>
      <c r="C370" s="45">
        <f>3/100*150</f>
        <v>4.5</v>
      </c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</row>
    <row r="371" spans="1:15" ht="15.75" x14ac:dyDescent="0.25">
      <c r="A371" s="45"/>
      <c r="B371" s="45" t="s">
        <v>46</v>
      </c>
      <c r="C371" s="45">
        <f>1.2/100*150</f>
        <v>1.8</v>
      </c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</row>
    <row r="372" spans="1:15" ht="15.75" x14ac:dyDescent="0.25">
      <c r="A372" s="45"/>
      <c r="B372" s="45" t="s">
        <v>36</v>
      </c>
      <c r="C372" s="45">
        <f>5.9/100*150</f>
        <v>8.8500000000000014</v>
      </c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</row>
    <row r="373" spans="1:15" ht="15.75" x14ac:dyDescent="0.25">
      <c r="A373" s="45"/>
      <c r="B373" s="45" t="s">
        <v>37</v>
      </c>
      <c r="C373" s="45">
        <f>3.9/100*150</f>
        <v>5.85</v>
      </c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</row>
    <row r="374" spans="1:15" ht="15.75" x14ac:dyDescent="0.25">
      <c r="A374" s="45"/>
      <c r="B374" s="45" t="s">
        <v>38</v>
      </c>
      <c r="C374" s="45">
        <v>157.5</v>
      </c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</row>
    <row r="375" spans="1:15" ht="15.75" x14ac:dyDescent="0.25">
      <c r="A375" s="45"/>
      <c r="B375" s="45" t="s">
        <v>39</v>
      </c>
      <c r="C375" s="45">
        <v>4</v>
      </c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</row>
    <row r="376" spans="1:15" ht="15.75" x14ac:dyDescent="0.25">
      <c r="A376" s="45"/>
      <c r="B376" s="45" t="s">
        <v>23</v>
      </c>
      <c r="C376" s="45">
        <f>4.5/100*150</f>
        <v>6.75</v>
      </c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</row>
    <row r="377" spans="1:15" ht="15.75" x14ac:dyDescent="0.25">
      <c r="A377" s="45">
        <v>498</v>
      </c>
      <c r="B377" s="44" t="s">
        <v>350</v>
      </c>
      <c r="C377" s="45">
        <v>200</v>
      </c>
      <c r="D377" s="45">
        <v>0.1</v>
      </c>
      <c r="E377" s="45">
        <v>0.1</v>
      </c>
      <c r="F377" s="45">
        <v>10.9</v>
      </c>
      <c r="G377" s="45">
        <v>45</v>
      </c>
      <c r="H377" s="45">
        <v>0</v>
      </c>
      <c r="I377" s="45">
        <v>0.7</v>
      </c>
      <c r="J377" s="45">
        <v>0</v>
      </c>
      <c r="K377" s="45">
        <v>0.2</v>
      </c>
      <c r="L377" s="45">
        <v>5.4</v>
      </c>
      <c r="M377" s="45">
        <v>3</v>
      </c>
      <c r="N377" s="45">
        <v>1.3</v>
      </c>
      <c r="O377" s="45">
        <v>0.11</v>
      </c>
    </row>
    <row r="378" spans="1:15" ht="15.75" x14ac:dyDescent="0.25">
      <c r="A378" s="45"/>
      <c r="B378" s="45" t="s">
        <v>358</v>
      </c>
      <c r="C378" s="45">
        <v>20</v>
      </c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</row>
    <row r="379" spans="1:15" ht="15.75" x14ac:dyDescent="0.25">
      <c r="A379" s="45"/>
      <c r="B379" s="45" t="s">
        <v>22</v>
      </c>
      <c r="C379" s="45">
        <v>10</v>
      </c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</row>
    <row r="380" spans="1:15" ht="15.75" x14ac:dyDescent="0.25">
      <c r="A380" s="45"/>
      <c r="B380" s="44" t="s">
        <v>107</v>
      </c>
      <c r="C380" s="45">
        <v>40</v>
      </c>
      <c r="D380" s="45">
        <v>3.04</v>
      </c>
      <c r="E380" s="45">
        <v>0.32</v>
      </c>
      <c r="F380" s="45">
        <v>19.68</v>
      </c>
      <c r="G380" s="45">
        <v>94</v>
      </c>
      <c r="H380" s="45">
        <v>0.04</v>
      </c>
      <c r="I380" s="45">
        <v>0</v>
      </c>
      <c r="J380" s="45">
        <v>0</v>
      </c>
      <c r="K380" s="45">
        <v>0.44</v>
      </c>
      <c r="L380" s="45">
        <v>8</v>
      </c>
      <c r="M380" s="45">
        <v>26</v>
      </c>
      <c r="N380" s="45">
        <v>5.6</v>
      </c>
      <c r="O380" s="45">
        <v>0.44</v>
      </c>
    </row>
    <row r="381" spans="1:15" ht="15.75" x14ac:dyDescent="0.25">
      <c r="A381" s="45"/>
      <c r="B381" s="44" t="s">
        <v>73</v>
      </c>
      <c r="C381" s="45">
        <v>30</v>
      </c>
      <c r="D381" s="45">
        <v>2.64</v>
      </c>
      <c r="E381" s="45">
        <v>0.48</v>
      </c>
      <c r="F381" s="45">
        <v>13.36</v>
      </c>
      <c r="G381" s="45">
        <v>69.599999999999994</v>
      </c>
      <c r="H381" s="45">
        <v>7.0000000000000007E-2</v>
      </c>
      <c r="I381" s="45">
        <v>0</v>
      </c>
      <c r="J381" s="45">
        <v>0</v>
      </c>
      <c r="K381" s="45">
        <v>0.56000000000000005</v>
      </c>
      <c r="L381" s="45">
        <v>14</v>
      </c>
      <c r="M381" s="45">
        <v>63.2</v>
      </c>
      <c r="N381" s="45">
        <v>18.8</v>
      </c>
      <c r="O381" s="45">
        <v>1.56</v>
      </c>
    </row>
    <row r="382" spans="1:15" s="7" customFormat="1" ht="15.75" x14ac:dyDescent="0.25">
      <c r="A382" s="44"/>
      <c r="B382" s="44" t="s">
        <v>348</v>
      </c>
      <c r="C382" s="44"/>
      <c r="D382" s="44">
        <f>D383+D384</f>
        <v>1.8399999999999999</v>
      </c>
      <c r="E382" s="44">
        <f t="shared" ref="E382:O382" si="17">E383+E384</f>
        <v>0.99</v>
      </c>
      <c r="F382" s="44">
        <f t="shared" si="17"/>
        <v>23.19</v>
      </c>
      <c r="G382" s="44">
        <f t="shared" si="17"/>
        <v>215</v>
      </c>
      <c r="H382" s="44">
        <f t="shared" si="17"/>
        <v>0.05</v>
      </c>
      <c r="I382" s="44">
        <f t="shared" si="17"/>
        <v>8</v>
      </c>
      <c r="J382" s="44">
        <f t="shared" si="17"/>
        <v>0</v>
      </c>
      <c r="K382" s="44">
        <f t="shared" si="17"/>
        <v>0.21</v>
      </c>
      <c r="L382" s="44">
        <f t="shared" si="17"/>
        <v>44.8</v>
      </c>
      <c r="M382" s="44">
        <f t="shared" si="17"/>
        <v>10.8</v>
      </c>
      <c r="N382" s="44">
        <f t="shared" si="17"/>
        <v>3</v>
      </c>
      <c r="O382" s="44">
        <f t="shared" si="17"/>
        <v>0.85000000000000009</v>
      </c>
    </row>
    <row r="383" spans="1:15" ht="15.75" x14ac:dyDescent="0.25">
      <c r="A383" s="45"/>
      <c r="B383" s="44" t="s">
        <v>136</v>
      </c>
      <c r="C383" s="45">
        <v>30</v>
      </c>
      <c r="D383" s="45">
        <v>0.84</v>
      </c>
      <c r="E383" s="45">
        <v>0.99</v>
      </c>
      <c r="F383" s="45">
        <v>23.19</v>
      </c>
      <c r="G383" s="45">
        <v>105</v>
      </c>
      <c r="H383" s="45">
        <v>0.01</v>
      </c>
      <c r="I383" s="45">
        <v>0</v>
      </c>
      <c r="J383" s="45">
        <v>0</v>
      </c>
      <c r="K383" s="45">
        <v>0.21</v>
      </c>
      <c r="L383" s="45">
        <v>4.8</v>
      </c>
      <c r="M383" s="45">
        <v>10.8</v>
      </c>
      <c r="N383" s="45">
        <v>3</v>
      </c>
      <c r="O383" s="45">
        <v>0.45</v>
      </c>
    </row>
    <row r="384" spans="1:15" ht="15.75" x14ac:dyDescent="0.25">
      <c r="A384" s="45"/>
      <c r="B384" s="44" t="s">
        <v>137</v>
      </c>
      <c r="C384" s="45">
        <v>200</v>
      </c>
      <c r="D384" s="45">
        <v>1</v>
      </c>
      <c r="E384" s="45">
        <v>0</v>
      </c>
      <c r="F384" s="45">
        <v>0</v>
      </c>
      <c r="G384" s="45">
        <v>110</v>
      </c>
      <c r="H384" s="45">
        <v>0.04</v>
      </c>
      <c r="I384" s="45">
        <v>8</v>
      </c>
      <c r="J384" s="45">
        <v>0</v>
      </c>
      <c r="K384" s="45">
        <v>0</v>
      </c>
      <c r="L384" s="45">
        <v>40</v>
      </c>
      <c r="M384" s="45">
        <v>0</v>
      </c>
      <c r="N384" s="45">
        <v>0</v>
      </c>
      <c r="O384" s="45">
        <v>0.4</v>
      </c>
    </row>
    <row r="385" spans="1:15" ht="15.75" x14ac:dyDescent="0.25">
      <c r="A385" s="45"/>
      <c r="B385" s="45" t="s">
        <v>138</v>
      </c>
      <c r="C385" s="45">
        <v>200</v>
      </c>
      <c r="D385" s="45">
        <v>1</v>
      </c>
      <c r="E385" s="45">
        <v>0</v>
      </c>
      <c r="F385" s="45">
        <v>25.4</v>
      </c>
      <c r="G385" s="45">
        <v>105.56</v>
      </c>
      <c r="H385" s="45">
        <v>0.04</v>
      </c>
      <c r="I385" s="45">
        <v>8</v>
      </c>
      <c r="J385" s="45">
        <v>0.43</v>
      </c>
      <c r="K385" s="45">
        <v>1.6</v>
      </c>
      <c r="L385" s="45">
        <v>40</v>
      </c>
      <c r="M385" s="45">
        <v>36</v>
      </c>
      <c r="N385" s="45">
        <v>20</v>
      </c>
      <c r="O385" s="45">
        <v>0.4</v>
      </c>
    </row>
    <row r="386" spans="1:15" s="7" customFormat="1" ht="15.75" x14ac:dyDescent="0.25">
      <c r="A386" s="44"/>
      <c r="B386" s="44" t="s">
        <v>66</v>
      </c>
      <c r="C386" s="44"/>
      <c r="D386" s="44">
        <f t="shared" ref="D386:O386" si="18">D292+D309+D346+D382</f>
        <v>97.22</v>
      </c>
      <c r="E386" s="44">
        <f t="shared" si="18"/>
        <v>81.475000000000009</v>
      </c>
      <c r="F386" s="44">
        <f t="shared" si="18"/>
        <v>280.29500000000002</v>
      </c>
      <c r="G386" s="44">
        <f t="shared" si="18"/>
        <v>2355.2000000000003</v>
      </c>
      <c r="H386" s="44">
        <f t="shared" si="18"/>
        <v>1.1185</v>
      </c>
      <c r="I386" s="44">
        <f t="shared" si="18"/>
        <v>63.674999999999997</v>
      </c>
      <c r="J386" s="44">
        <f t="shared" si="18"/>
        <v>388.16999999999996</v>
      </c>
      <c r="K386" s="44">
        <f t="shared" si="18"/>
        <v>17.015000000000001</v>
      </c>
      <c r="L386" s="44">
        <f t="shared" si="18"/>
        <v>893.66</v>
      </c>
      <c r="M386" s="44">
        <f t="shared" si="18"/>
        <v>1546.79</v>
      </c>
      <c r="N386" s="44">
        <f t="shared" si="18"/>
        <v>343.20904761904762</v>
      </c>
      <c r="O386" s="44">
        <f t="shared" si="18"/>
        <v>21.079000000000001</v>
      </c>
    </row>
    <row r="387" spans="1:15" ht="15.75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</row>
    <row r="388" spans="1:15" ht="18" x14ac:dyDescent="0.25">
      <c r="A388" s="1" t="s">
        <v>139</v>
      </c>
    </row>
    <row r="390" spans="1:15" ht="15.75" x14ac:dyDescent="0.25">
      <c r="A390" s="2" t="s">
        <v>19</v>
      </c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</row>
    <row r="391" spans="1:15" ht="15" x14ac:dyDescent="0.2">
      <c r="A391" s="62" t="s">
        <v>17</v>
      </c>
      <c r="B391" s="61" t="s">
        <v>0</v>
      </c>
      <c r="C391" s="61" t="s">
        <v>1</v>
      </c>
      <c r="D391" s="63" t="s">
        <v>9</v>
      </c>
      <c r="E391" s="64"/>
      <c r="F391" s="65"/>
      <c r="G391" s="61" t="s">
        <v>10</v>
      </c>
      <c r="H391" s="61" t="s">
        <v>7</v>
      </c>
      <c r="I391" s="61"/>
      <c r="J391" s="61"/>
      <c r="K391" s="61"/>
      <c r="L391" s="61" t="s">
        <v>8</v>
      </c>
      <c r="M391" s="61"/>
      <c r="N391" s="61"/>
      <c r="O391" s="61"/>
    </row>
    <row r="392" spans="1:15" ht="30" x14ac:dyDescent="0.2">
      <c r="A392" s="62"/>
      <c r="B392" s="61"/>
      <c r="C392" s="61"/>
      <c r="D392" s="41" t="s">
        <v>2</v>
      </c>
      <c r="E392" s="42" t="s">
        <v>3</v>
      </c>
      <c r="F392" s="42" t="s">
        <v>4</v>
      </c>
      <c r="G392" s="61"/>
      <c r="H392" s="42" t="s">
        <v>11</v>
      </c>
      <c r="I392" s="42" t="s">
        <v>12</v>
      </c>
      <c r="J392" s="42" t="s">
        <v>13</v>
      </c>
      <c r="K392" s="42" t="s">
        <v>5</v>
      </c>
      <c r="L392" s="43" t="s">
        <v>14</v>
      </c>
      <c r="M392" s="42" t="s">
        <v>15</v>
      </c>
      <c r="N392" s="42" t="s">
        <v>6</v>
      </c>
      <c r="O392" s="42" t="s">
        <v>16</v>
      </c>
    </row>
    <row r="393" spans="1:15" s="7" customFormat="1" ht="15.75" x14ac:dyDescent="0.25">
      <c r="A393" s="44"/>
      <c r="B393" s="44" t="s">
        <v>372</v>
      </c>
      <c r="C393" s="44"/>
      <c r="D393" s="44">
        <f>D394+D396+D400+D406</f>
        <v>19.82</v>
      </c>
      <c r="E393" s="44">
        <f t="shared" ref="E393:O393" si="19">E394+E396+E400+E406</f>
        <v>21.580000000000002</v>
      </c>
      <c r="F393" s="44">
        <f t="shared" si="19"/>
        <v>52.94</v>
      </c>
      <c r="G393" s="44">
        <f t="shared" si="19"/>
        <v>485.20000000000005</v>
      </c>
      <c r="H393" s="44">
        <f t="shared" si="19"/>
        <v>0.158</v>
      </c>
      <c r="I393" s="44">
        <f t="shared" si="19"/>
        <v>1.7800000000000002</v>
      </c>
      <c r="J393" s="44">
        <f t="shared" si="19"/>
        <v>112.1</v>
      </c>
      <c r="K393" s="44">
        <f t="shared" si="19"/>
        <v>1.02</v>
      </c>
      <c r="L393" s="44">
        <f t="shared" si="19"/>
        <v>424.80000000000007</v>
      </c>
      <c r="M393" s="44">
        <f t="shared" si="19"/>
        <v>380.78</v>
      </c>
      <c r="N393" s="44">
        <f t="shared" si="19"/>
        <v>49.8</v>
      </c>
      <c r="O393" s="44">
        <f t="shared" si="19"/>
        <v>2.702</v>
      </c>
    </row>
    <row r="394" spans="1:15" ht="15.75" x14ac:dyDescent="0.25">
      <c r="A394" s="45"/>
      <c r="B394" s="44" t="s">
        <v>140</v>
      </c>
      <c r="C394" s="45">
        <v>40</v>
      </c>
      <c r="D394" s="45">
        <v>5.0999999999999996</v>
      </c>
      <c r="E394" s="45">
        <v>4.5999999999999996</v>
      </c>
      <c r="F394" s="45">
        <v>0.3</v>
      </c>
      <c r="G394" s="45">
        <v>63</v>
      </c>
      <c r="H394" s="45">
        <v>0.03</v>
      </c>
      <c r="I394" s="45">
        <v>0</v>
      </c>
      <c r="J394" s="45">
        <v>0.1</v>
      </c>
      <c r="K394" s="45">
        <v>0.2</v>
      </c>
      <c r="L394" s="45">
        <v>22</v>
      </c>
      <c r="M394" s="45">
        <v>77</v>
      </c>
      <c r="N394" s="45">
        <v>5</v>
      </c>
      <c r="O394" s="45">
        <v>1</v>
      </c>
    </row>
    <row r="395" spans="1:15" ht="15.75" x14ac:dyDescent="0.25">
      <c r="A395" s="45"/>
      <c r="B395" s="45" t="s">
        <v>141</v>
      </c>
      <c r="C395" s="45">
        <v>40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</row>
    <row r="396" spans="1:15" ht="15.75" x14ac:dyDescent="0.25">
      <c r="A396" s="45">
        <v>63</v>
      </c>
      <c r="B396" s="44" t="s">
        <v>142</v>
      </c>
      <c r="C396" s="45">
        <v>45</v>
      </c>
      <c r="D396" s="45">
        <v>6.9</v>
      </c>
      <c r="E396" s="45">
        <v>9.1</v>
      </c>
      <c r="F396" s="45">
        <v>9.9</v>
      </c>
      <c r="G396" s="45">
        <v>149</v>
      </c>
      <c r="H396" s="45">
        <v>0.03</v>
      </c>
      <c r="I396" s="45">
        <v>0.1</v>
      </c>
      <c r="J396" s="45">
        <v>62.3</v>
      </c>
      <c r="K396" s="45">
        <v>0.3</v>
      </c>
      <c r="L396" s="45">
        <v>206.8</v>
      </c>
      <c r="M396" s="45">
        <v>135.5</v>
      </c>
      <c r="N396" s="45">
        <v>13.9</v>
      </c>
      <c r="O396" s="45">
        <v>0.37</v>
      </c>
    </row>
    <row r="397" spans="1:15" ht="15.75" x14ac:dyDescent="0.25">
      <c r="A397" s="45"/>
      <c r="B397" s="45" t="s">
        <v>339</v>
      </c>
      <c r="C397" s="45">
        <v>20</v>
      </c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</row>
    <row r="398" spans="1:15" ht="15.75" x14ac:dyDescent="0.25">
      <c r="A398" s="45"/>
      <c r="B398" s="45" t="s">
        <v>23</v>
      </c>
      <c r="C398" s="45">
        <v>5</v>
      </c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</row>
    <row r="399" spans="1:15" ht="15.75" x14ac:dyDescent="0.25">
      <c r="A399" s="45"/>
      <c r="B399" s="45" t="s">
        <v>27</v>
      </c>
      <c r="C399" s="45">
        <v>20</v>
      </c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</row>
    <row r="400" spans="1:15" ht="15.75" x14ac:dyDescent="0.25">
      <c r="A400" s="45">
        <v>227</v>
      </c>
      <c r="B400" s="44" t="s">
        <v>143</v>
      </c>
      <c r="C400" s="45">
        <v>200</v>
      </c>
      <c r="D400" s="45">
        <f>31.1/1000*200</f>
        <v>6.2200000000000006</v>
      </c>
      <c r="E400" s="45">
        <f>32.9/1000*200</f>
        <v>6.58</v>
      </c>
      <c r="F400" s="45">
        <f>156.2/1000*200</f>
        <v>31.239999999999995</v>
      </c>
      <c r="G400" s="45">
        <f>1046/1000*200</f>
        <v>209.20000000000002</v>
      </c>
      <c r="H400" s="45">
        <f>0.39/1000*200</f>
        <v>7.8E-2</v>
      </c>
      <c r="I400" s="45">
        <f>6.9/1000*200</f>
        <v>1.3800000000000001</v>
      </c>
      <c r="J400" s="45">
        <f>201/1000*200</f>
        <v>40.200000000000003</v>
      </c>
      <c r="K400" s="45">
        <f>2.6/1000*200</f>
        <v>0.52</v>
      </c>
      <c r="L400" s="45">
        <f>684.5/1000*200</f>
        <v>136.9</v>
      </c>
      <c r="M400" s="45">
        <f>611.9/1000*200</f>
        <v>122.38</v>
      </c>
      <c r="N400" s="45">
        <f>102/1000*200</f>
        <v>20.399999999999999</v>
      </c>
      <c r="O400" s="45">
        <f>2.31/1000*200</f>
        <v>0.46200000000000002</v>
      </c>
    </row>
    <row r="401" spans="1:15" ht="15.75" x14ac:dyDescent="0.25">
      <c r="A401" s="45"/>
      <c r="B401" s="45" t="s">
        <v>92</v>
      </c>
      <c r="C401" s="45">
        <f>154/1000*200</f>
        <v>30.8</v>
      </c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</row>
    <row r="402" spans="1:15" ht="15.75" x14ac:dyDescent="0.25">
      <c r="A402" s="45"/>
      <c r="B402" s="45" t="s">
        <v>23</v>
      </c>
      <c r="C402" s="45">
        <f>25/1000*200</f>
        <v>5</v>
      </c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</row>
    <row r="403" spans="1:15" ht="15.75" x14ac:dyDescent="0.25">
      <c r="A403" s="45"/>
      <c r="B403" s="45" t="s">
        <v>47</v>
      </c>
      <c r="C403" s="45">
        <v>1</v>
      </c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</row>
    <row r="404" spans="1:15" ht="15.75" x14ac:dyDescent="0.25">
      <c r="A404" s="45"/>
      <c r="B404" s="45" t="s">
        <v>22</v>
      </c>
      <c r="C404" s="45">
        <v>5</v>
      </c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</row>
    <row r="405" spans="1:15" ht="15.75" x14ac:dyDescent="0.25">
      <c r="A405" s="45"/>
      <c r="B405" s="45" t="s">
        <v>25</v>
      </c>
      <c r="C405" s="45">
        <f>530/1000*200</f>
        <v>106</v>
      </c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</row>
    <row r="406" spans="1:15" ht="15.75" x14ac:dyDescent="0.25">
      <c r="A406" s="45">
        <v>460</v>
      </c>
      <c r="B406" s="44" t="s">
        <v>144</v>
      </c>
      <c r="C406" s="45">
        <v>200</v>
      </c>
      <c r="D406" s="45">
        <v>1.6</v>
      </c>
      <c r="E406" s="45">
        <v>1.3</v>
      </c>
      <c r="F406" s="45">
        <v>11.5</v>
      </c>
      <c r="G406" s="45">
        <v>64</v>
      </c>
      <c r="H406" s="45">
        <v>0.02</v>
      </c>
      <c r="I406" s="45">
        <v>0.3</v>
      </c>
      <c r="J406" s="45">
        <v>9.5</v>
      </c>
      <c r="K406" s="45">
        <v>0</v>
      </c>
      <c r="L406" s="45">
        <v>59.1</v>
      </c>
      <c r="M406" s="45">
        <v>45.9</v>
      </c>
      <c r="N406" s="45">
        <v>10.5</v>
      </c>
      <c r="O406" s="45">
        <v>0.87</v>
      </c>
    </row>
    <row r="407" spans="1:15" ht="15.75" x14ac:dyDescent="0.25">
      <c r="A407" s="45"/>
      <c r="B407" s="45" t="s">
        <v>25</v>
      </c>
      <c r="C407" s="45">
        <v>50</v>
      </c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</row>
    <row r="408" spans="1:15" ht="15.75" x14ac:dyDescent="0.25">
      <c r="A408" s="45"/>
      <c r="B408" s="45" t="s">
        <v>22</v>
      </c>
      <c r="C408" s="45">
        <v>10</v>
      </c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</row>
    <row r="409" spans="1:15" ht="15.75" x14ac:dyDescent="0.25">
      <c r="A409" s="45"/>
      <c r="B409" s="45" t="s">
        <v>71</v>
      </c>
      <c r="C409" s="45">
        <v>1</v>
      </c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</row>
    <row r="410" spans="1:15" ht="15.75" x14ac:dyDescent="0.25">
      <c r="A410" s="45"/>
      <c r="B410" s="44" t="s">
        <v>107</v>
      </c>
      <c r="C410" s="45">
        <v>40</v>
      </c>
      <c r="D410" s="45">
        <v>3.04</v>
      </c>
      <c r="E410" s="45">
        <v>0.32</v>
      </c>
      <c r="F410" s="45">
        <v>19.68</v>
      </c>
      <c r="G410" s="45">
        <v>94</v>
      </c>
      <c r="H410" s="45">
        <v>0.04</v>
      </c>
      <c r="I410" s="45">
        <v>0</v>
      </c>
      <c r="J410" s="45">
        <v>0</v>
      </c>
      <c r="K410" s="45">
        <v>0.44</v>
      </c>
      <c r="L410" s="45">
        <v>8</v>
      </c>
      <c r="M410" s="45">
        <v>26</v>
      </c>
      <c r="N410" s="45">
        <v>5.6</v>
      </c>
      <c r="O410" s="45">
        <v>0.44</v>
      </c>
    </row>
    <row r="411" spans="1:15" ht="15.75" x14ac:dyDescent="0.25">
      <c r="A411" s="45"/>
      <c r="B411" s="44" t="s">
        <v>73</v>
      </c>
      <c r="C411" s="45">
        <v>30</v>
      </c>
      <c r="D411" s="45">
        <v>2.64</v>
      </c>
      <c r="E411" s="45">
        <v>0.48</v>
      </c>
      <c r="F411" s="45">
        <v>13.36</v>
      </c>
      <c r="G411" s="45">
        <v>69.599999999999994</v>
      </c>
      <c r="H411" s="45">
        <v>7.0000000000000007E-2</v>
      </c>
      <c r="I411" s="45">
        <v>0</v>
      </c>
      <c r="J411" s="45">
        <v>0</v>
      </c>
      <c r="K411" s="45">
        <v>0.56000000000000005</v>
      </c>
      <c r="L411" s="45">
        <v>14</v>
      </c>
      <c r="M411" s="45">
        <v>63.2</v>
      </c>
      <c r="N411" s="45">
        <v>18.8</v>
      </c>
      <c r="O411" s="45">
        <v>1.56</v>
      </c>
    </row>
    <row r="412" spans="1:15" ht="15.75" x14ac:dyDescent="0.25">
      <c r="A412" s="45">
        <v>82</v>
      </c>
      <c r="B412" s="44" t="s">
        <v>356</v>
      </c>
      <c r="C412" s="45">
        <v>100</v>
      </c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</row>
    <row r="413" spans="1:15" s="7" customFormat="1" ht="15.75" x14ac:dyDescent="0.25">
      <c r="A413" s="44"/>
      <c r="B413" s="44" t="s">
        <v>373</v>
      </c>
      <c r="C413" s="44"/>
      <c r="D413" s="44">
        <f t="shared" ref="D413:O413" si="20">D414+D420+D428+D433+D437+D441+D442</f>
        <v>44.524999999999999</v>
      </c>
      <c r="E413" s="44">
        <f t="shared" si="20"/>
        <v>30.734999999999999</v>
      </c>
      <c r="F413" s="44">
        <f t="shared" si="20"/>
        <v>80.375</v>
      </c>
      <c r="G413" s="44">
        <f t="shared" si="20"/>
        <v>776.23</v>
      </c>
      <c r="H413" s="44">
        <f t="shared" si="20"/>
        <v>0.49299999999999999</v>
      </c>
      <c r="I413" s="44">
        <f t="shared" si="20"/>
        <v>12.709999999999999</v>
      </c>
      <c r="J413" s="44">
        <f t="shared" si="20"/>
        <v>150.41785714285714</v>
      </c>
      <c r="K413" s="44">
        <f t="shared" si="20"/>
        <v>3.9750000000000005</v>
      </c>
      <c r="L413" s="44">
        <f t="shared" si="20"/>
        <v>175.19</v>
      </c>
      <c r="M413" s="44">
        <f t="shared" si="20"/>
        <v>411.44500000000005</v>
      </c>
      <c r="N413" s="44">
        <f t="shared" si="20"/>
        <v>125.31571428571429</v>
      </c>
      <c r="O413" s="44">
        <f t="shared" si="20"/>
        <v>9.4110000000000014</v>
      </c>
    </row>
    <row r="414" spans="1:15" ht="31.5" x14ac:dyDescent="0.25">
      <c r="A414" s="45">
        <v>5</v>
      </c>
      <c r="B414" s="44" t="s">
        <v>291</v>
      </c>
      <c r="C414" s="45">
        <v>60</v>
      </c>
      <c r="D414" s="45">
        <f>1.3/100*60</f>
        <v>0.78</v>
      </c>
      <c r="E414" s="45">
        <f>6.1/100*60</f>
        <v>3.66</v>
      </c>
      <c r="F414" s="45">
        <f>2.8/100*60</f>
        <v>1.6799999999999997</v>
      </c>
      <c r="G414" s="45">
        <f>71/100*60</f>
        <v>42.599999999999994</v>
      </c>
      <c r="H414" s="45">
        <f>0.03/100*60</f>
        <v>1.7999999999999999E-2</v>
      </c>
      <c r="I414" s="45">
        <f>13.3/100*60</f>
        <v>7.98</v>
      </c>
      <c r="J414" s="45">
        <v>0</v>
      </c>
      <c r="K414" s="45">
        <f>2.7/100*60</f>
        <v>1.62</v>
      </c>
      <c r="L414" s="45">
        <f>34.4/100*60</f>
        <v>20.639999999999997</v>
      </c>
      <c r="M414" s="45">
        <f>30.5/100*60</f>
        <v>18.3</v>
      </c>
      <c r="N414" s="45">
        <f>15.3/100*60</f>
        <v>9.18</v>
      </c>
      <c r="O414" s="45">
        <f>0.56/100*60</f>
        <v>0.33600000000000008</v>
      </c>
    </row>
    <row r="415" spans="1:15" ht="15.75" x14ac:dyDescent="0.25">
      <c r="A415" s="45"/>
      <c r="B415" s="45" t="s">
        <v>292</v>
      </c>
      <c r="C415" s="45">
        <f>47.4/100*60</f>
        <v>28.439999999999998</v>
      </c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</row>
    <row r="416" spans="1:15" ht="15.75" x14ac:dyDescent="0.25">
      <c r="A416" s="45"/>
      <c r="B416" s="45" t="s">
        <v>47</v>
      </c>
      <c r="C416" s="45">
        <f>0.25/100*60</f>
        <v>0.15</v>
      </c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</row>
    <row r="417" spans="1:15" ht="15.75" x14ac:dyDescent="0.25">
      <c r="A417" s="45"/>
      <c r="B417" s="45" t="s">
        <v>38</v>
      </c>
      <c r="C417" s="45">
        <f>55.2/100*60</f>
        <v>33.120000000000005</v>
      </c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</row>
    <row r="418" spans="1:15" ht="15.75" x14ac:dyDescent="0.25">
      <c r="A418" s="45"/>
      <c r="B418" s="45" t="s">
        <v>42</v>
      </c>
      <c r="C418" s="45">
        <f>5/100*60</f>
        <v>3</v>
      </c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</row>
    <row r="419" spans="1:15" ht="15.75" x14ac:dyDescent="0.25">
      <c r="A419" s="45"/>
      <c r="B419" s="45" t="s">
        <v>41</v>
      </c>
      <c r="C419" s="45">
        <f>6/100*60</f>
        <v>3.5999999999999996</v>
      </c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</row>
    <row r="420" spans="1:15" ht="15.75" x14ac:dyDescent="0.25">
      <c r="A420" s="45">
        <v>111</v>
      </c>
      <c r="B420" s="44" t="s">
        <v>52</v>
      </c>
      <c r="C420" s="45">
        <v>250</v>
      </c>
      <c r="D420" s="45">
        <f>53.3/1000*250</f>
        <v>13.324999999999999</v>
      </c>
      <c r="E420" s="45">
        <f>51.3/1000*250</f>
        <v>12.824999999999999</v>
      </c>
      <c r="F420" s="45">
        <f>13.9/1000*250</f>
        <v>3.4750000000000001</v>
      </c>
      <c r="G420" s="45">
        <f>731/1000*250</f>
        <v>182.75</v>
      </c>
      <c r="H420" s="45">
        <f>0.2/1000*250</f>
        <v>0.05</v>
      </c>
      <c r="I420" s="45">
        <f>11.4/1000*250</f>
        <v>2.85</v>
      </c>
      <c r="J420" s="45">
        <f>314.5/1000*250</f>
        <v>78.625</v>
      </c>
      <c r="K420" s="45">
        <f>1.66/1000*250</f>
        <v>0.41499999999999998</v>
      </c>
      <c r="L420" s="45">
        <f>171/1000*250</f>
        <v>42.75</v>
      </c>
      <c r="M420" s="45">
        <f>398.5/1000*250</f>
        <v>99.625</v>
      </c>
      <c r="N420" s="45">
        <f>101.2/1000*250</f>
        <v>25.3</v>
      </c>
      <c r="O420" s="45">
        <f>6.7/1000*250</f>
        <v>1.675</v>
      </c>
    </row>
    <row r="421" spans="1:15" ht="15.75" x14ac:dyDescent="0.25">
      <c r="A421" s="45"/>
      <c r="B421" s="45" t="s">
        <v>146</v>
      </c>
      <c r="C421" s="45">
        <f>118.5/1000*250</f>
        <v>29.625</v>
      </c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</row>
    <row r="422" spans="1:15" ht="15.75" x14ac:dyDescent="0.25">
      <c r="A422" s="45"/>
      <c r="B422" s="45" t="s">
        <v>34</v>
      </c>
      <c r="C422" s="45">
        <v>12.5</v>
      </c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</row>
    <row r="423" spans="1:15" ht="15.75" x14ac:dyDescent="0.25">
      <c r="A423" s="45"/>
      <c r="B423" s="45" t="s">
        <v>23</v>
      </c>
      <c r="C423" s="45">
        <f>20/1000*250</f>
        <v>5</v>
      </c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</row>
    <row r="424" spans="1:15" ht="15.75" x14ac:dyDescent="0.25">
      <c r="A424" s="45"/>
      <c r="B424" s="45" t="s">
        <v>54</v>
      </c>
      <c r="C424" s="45">
        <f>99/1000*250</f>
        <v>24.75</v>
      </c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</row>
    <row r="425" spans="1:15" ht="15.75" x14ac:dyDescent="0.25">
      <c r="A425" s="45"/>
      <c r="B425" s="45" t="s">
        <v>36</v>
      </c>
      <c r="C425" s="45">
        <v>24.55</v>
      </c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</row>
    <row r="426" spans="1:15" ht="15.75" x14ac:dyDescent="0.25">
      <c r="A426" s="45"/>
      <c r="B426" s="45" t="s">
        <v>55</v>
      </c>
      <c r="C426" s="45">
        <f>20.7/1000*250</f>
        <v>5.1749999999999998</v>
      </c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</row>
    <row r="427" spans="1:15" ht="15.75" x14ac:dyDescent="0.25">
      <c r="A427" s="45"/>
      <c r="B427" s="45" t="s">
        <v>40</v>
      </c>
      <c r="C427" s="45">
        <v>225</v>
      </c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</row>
    <row r="428" spans="1:15" ht="31.5" x14ac:dyDescent="0.25">
      <c r="A428" s="45">
        <v>372</v>
      </c>
      <c r="B428" s="44" t="s">
        <v>147</v>
      </c>
      <c r="C428" s="45">
        <v>80</v>
      </c>
      <c r="D428" s="45">
        <v>12.34</v>
      </c>
      <c r="E428" s="45">
        <v>7.65</v>
      </c>
      <c r="F428" s="45">
        <v>7.08</v>
      </c>
      <c r="G428" s="45">
        <v>146.28</v>
      </c>
      <c r="H428" s="45">
        <v>0.05</v>
      </c>
      <c r="I428" s="45">
        <v>0.68</v>
      </c>
      <c r="J428" s="45">
        <f>40.9/70*80</f>
        <v>46.742857142857147</v>
      </c>
      <c r="K428" s="45">
        <v>0.45</v>
      </c>
      <c r="L428" s="45">
        <v>31.65</v>
      </c>
      <c r="M428" s="45">
        <v>78.62</v>
      </c>
      <c r="N428" s="45">
        <f>13.2/70*80</f>
        <v>15.085714285714285</v>
      </c>
      <c r="O428" s="45">
        <v>1.1000000000000001</v>
      </c>
    </row>
    <row r="429" spans="1:15" ht="15.75" x14ac:dyDescent="0.25">
      <c r="A429" s="45"/>
      <c r="B429" s="45" t="s">
        <v>285</v>
      </c>
      <c r="C429" s="45">
        <v>60.57</v>
      </c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</row>
    <row r="430" spans="1:15" ht="15.75" x14ac:dyDescent="0.25">
      <c r="A430" s="45"/>
      <c r="B430" s="45" t="s">
        <v>41</v>
      </c>
      <c r="C430" s="45">
        <v>2.2799999999999998</v>
      </c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</row>
    <row r="431" spans="1:15" ht="15.75" x14ac:dyDescent="0.25">
      <c r="A431" s="45"/>
      <c r="B431" s="45" t="s">
        <v>25</v>
      </c>
      <c r="C431" s="45">
        <v>20.57</v>
      </c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</row>
    <row r="432" spans="1:15" ht="15.75" x14ac:dyDescent="0.25">
      <c r="A432" s="45"/>
      <c r="B432" s="45" t="s">
        <v>27</v>
      </c>
      <c r="C432" s="45">
        <v>14.85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</row>
    <row r="433" spans="1:15" ht="15.75" x14ac:dyDescent="0.25">
      <c r="A433" s="45">
        <v>391</v>
      </c>
      <c r="B433" s="44" t="s">
        <v>148</v>
      </c>
      <c r="C433" s="45">
        <v>150</v>
      </c>
      <c r="D433" s="45">
        <f>8.2/100*150</f>
        <v>12.299999999999999</v>
      </c>
      <c r="E433" s="45">
        <f>3.8/100*150</f>
        <v>5.7</v>
      </c>
      <c r="F433" s="45">
        <f>16/100*150</f>
        <v>24</v>
      </c>
      <c r="G433" s="45">
        <f>130/100*150</f>
        <v>195</v>
      </c>
      <c r="H433" s="45">
        <f>0.17/100*150</f>
        <v>0.255</v>
      </c>
      <c r="I433" s="45">
        <f>0.4/100*150</f>
        <v>0.6</v>
      </c>
      <c r="J433" s="45">
        <f>16.7/100*150</f>
        <v>25.049999999999997</v>
      </c>
      <c r="K433" s="45">
        <f>0.3/100*150</f>
        <v>0.45</v>
      </c>
      <c r="L433" s="45">
        <f>36.5/100*150</f>
        <v>54.75</v>
      </c>
      <c r="M433" s="45">
        <f>82.4/100*150</f>
        <v>123.60000000000001</v>
      </c>
      <c r="N433" s="45">
        <f>33.1/100*150</f>
        <v>49.650000000000006</v>
      </c>
      <c r="O433" s="45">
        <f>2.56/100*150</f>
        <v>3.8400000000000003</v>
      </c>
    </row>
    <row r="434" spans="1:15" ht="15.75" x14ac:dyDescent="0.25">
      <c r="A434" s="45"/>
      <c r="B434" s="45" t="s">
        <v>47</v>
      </c>
      <c r="C434" s="45">
        <f>1/100*150</f>
        <v>1.5</v>
      </c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</row>
    <row r="435" spans="1:15" ht="15.75" x14ac:dyDescent="0.25">
      <c r="A435" s="45"/>
      <c r="B435" s="45" t="s">
        <v>149</v>
      </c>
      <c r="C435" s="45">
        <f>35.8/100*150</f>
        <v>53.699999999999996</v>
      </c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</row>
    <row r="436" spans="1:15" ht="15.75" x14ac:dyDescent="0.25">
      <c r="A436" s="45"/>
      <c r="B436" s="45" t="s">
        <v>23</v>
      </c>
      <c r="C436" s="45">
        <f>4.4/100*150</f>
        <v>6.6000000000000005</v>
      </c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</row>
    <row r="437" spans="1:15" ht="15.75" x14ac:dyDescent="0.25">
      <c r="A437" s="45">
        <v>486</v>
      </c>
      <c r="B437" s="44" t="s">
        <v>290</v>
      </c>
      <c r="C437" s="45">
        <v>200</v>
      </c>
      <c r="D437" s="45">
        <v>0.1</v>
      </c>
      <c r="E437" s="45">
        <v>0.1</v>
      </c>
      <c r="F437" s="45">
        <v>11.1</v>
      </c>
      <c r="G437" s="45">
        <v>46</v>
      </c>
      <c r="H437" s="45">
        <v>0.01</v>
      </c>
      <c r="I437" s="45">
        <v>0.6</v>
      </c>
      <c r="J437" s="45">
        <v>0</v>
      </c>
      <c r="K437" s="45">
        <v>0.04</v>
      </c>
      <c r="L437" s="45">
        <v>3.4</v>
      </c>
      <c r="M437" s="45">
        <v>2.1</v>
      </c>
      <c r="N437" s="45">
        <v>1.7</v>
      </c>
      <c r="O437" s="45">
        <v>0.46</v>
      </c>
    </row>
    <row r="438" spans="1:15" ht="15.75" x14ac:dyDescent="0.25">
      <c r="A438" s="45"/>
      <c r="B438" s="45" t="s">
        <v>334</v>
      </c>
      <c r="C438" s="45">
        <v>23</v>
      </c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</row>
    <row r="439" spans="1:15" ht="15.75" x14ac:dyDescent="0.25">
      <c r="A439" s="45"/>
      <c r="B439" s="45" t="s">
        <v>22</v>
      </c>
      <c r="C439" s="45">
        <v>10</v>
      </c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</row>
    <row r="440" spans="1:15" ht="15.75" x14ac:dyDescent="0.25">
      <c r="A440" s="45"/>
      <c r="B440" s="45" t="s">
        <v>42</v>
      </c>
      <c r="C440" s="45">
        <v>10</v>
      </c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</row>
    <row r="441" spans="1:15" ht="15.75" x14ac:dyDescent="0.25">
      <c r="A441" s="45"/>
      <c r="B441" s="44" t="s">
        <v>107</v>
      </c>
      <c r="C441" s="45">
        <v>40</v>
      </c>
      <c r="D441" s="45">
        <v>3.04</v>
      </c>
      <c r="E441" s="45">
        <v>0.32</v>
      </c>
      <c r="F441" s="45">
        <v>19.68</v>
      </c>
      <c r="G441" s="45">
        <v>94</v>
      </c>
      <c r="H441" s="45">
        <v>0.04</v>
      </c>
      <c r="I441" s="45">
        <v>0</v>
      </c>
      <c r="J441" s="45">
        <v>0</v>
      </c>
      <c r="K441" s="45">
        <v>0.44</v>
      </c>
      <c r="L441" s="45">
        <v>8</v>
      </c>
      <c r="M441" s="45">
        <v>26</v>
      </c>
      <c r="N441" s="45">
        <v>5.6</v>
      </c>
      <c r="O441" s="45">
        <v>0.44</v>
      </c>
    </row>
    <row r="442" spans="1:15" ht="15.75" x14ac:dyDescent="0.25">
      <c r="A442" s="45"/>
      <c r="B442" s="44" t="s">
        <v>73</v>
      </c>
      <c r="C442" s="45">
        <v>30</v>
      </c>
      <c r="D442" s="45">
        <v>2.64</v>
      </c>
      <c r="E442" s="45">
        <v>0.48</v>
      </c>
      <c r="F442" s="45">
        <v>13.36</v>
      </c>
      <c r="G442" s="45">
        <v>69.599999999999994</v>
      </c>
      <c r="H442" s="45">
        <v>7.0000000000000007E-2</v>
      </c>
      <c r="I442" s="45">
        <v>0</v>
      </c>
      <c r="J442" s="45">
        <v>0</v>
      </c>
      <c r="K442" s="45">
        <v>0.56000000000000005</v>
      </c>
      <c r="L442" s="45">
        <v>14</v>
      </c>
      <c r="M442" s="45">
        <v>63.2</v>
      </c>
      <c r="N442" s="45">
        <v>18.8</v>
      </c>
      <c r="O442" s="45">
        <v>1.56</v>
      </c>
    </row>
    <row r="443" spans="1:15" s="7" customFormat="1" ht="15.75" x14ac:dyDescent="0.25">
      <c r="A443" s="44"/>
      <c r="B443" s="44" t="s">
        <v>374</v>
      </c>
      <c r="C443" s="44"/>
      <c r="D443" s="44">
        <f t="shared" ref="D443:O443" si="21">D444+D449+D455+D462+D473+D476+D477</f>
        <v>52.410000000000004</v>
      </c>
      <c r="E443" s="44">
        <f t="shared" si="21"/>
        <v>29.730000000000004</v>
      </c>
      <c r="F443" s="44">
        <f t="shared" si="21"/>
        <v>74.335000000000008</v>
      </c>
      <c r="G443" s="44">
        <f t="shared" si="21"/>
        <v>670.2</v>
      </c>
      <c r="H443" s="44">
        <f t="shared" si="21"/>
        <v>0.3695</v>
      </c>
      <c r="I443" s="44">
        <f t="shared" si="21"/>
        <v>20.48</v>
      </c>
      <c r="J443" s="44">
        <f t="shared" si="21"/>
        <v>39.86</v>
      </c>
      <c r="K443" s="44">
        <f t="shared" si="21"/>
        <v>9.0749999999999993</v>
      </c>
      <c r="L443" s="44">
        <f t="shared" si="21"/>
        <v>150.095</v>
      </c>
      <c r="M443" s="44">
        <f t="shared" si="21"/>
        <v>406.53</v>
      </c>
      <c r="N443" s="44">
        <f t="shared" si="21"/>
        <v>92.749999999999986</v>
      </c>
      <c r="O443" s="44">
        <f t="shared" si="21"/>
        <v>6.1735000000000007</v>
      </c>
    </row>
    <row r="444" spans="1:15" ht="31.5" x14ac:dyDescent="0.25">
      <c r="A444" s="45">
        <v>25</v>
      </c>
      <c r="B444" s="44" t="s">
        <v>151</v>
      </c>
      <c r="C444" s="45">
        <v>60</v>
      </c>
      <c r="D444" s="45">
        <f>1.9/100*60</f>
        <v>1.1399999999999999</v>
      </c>
      <c r="E444" s="45">
        <f>6.1/100*60</f>
        <v>3.66</v>
      </c>
      <c r="F444" s="45">
        <f>5.8/100*60</f>
        <v>3.4799999999999995</v>
      </c>
      <c r="G444" s="45">
        <f>86/100*60</f>
        <v>51.6</v>
      </c>
      <c r="H444" s="45">
        <f>0.06/100*60</f>
        <v>3.5999999999999997E-2</v>
      </c>
      <c r="I444" s="45">
        <f>1.8/100*60</f>
        <v>1.08</v>
      </c>
      <c r="J444" s="45">
        <v>0</v>
      </c>
      <c r="K444" s="45">
        <f>3.8/100*60</f>
        <v>2.2799999999999998</v>
      </c>
      <c r="L444" s="45">
        <f>22.6/100*60</f>
        <v>13.56</v>
      </c>
      <c r="M444" s="45">
        <f>51.4/100*60</f>
        <v>30.84</v>
      </c>
      <c r="N444" s="45">
        <f>27.6/100*60</f>
        <v>16.560000000000002</v>
      </c>
      <c r="O444" s="45">
        <f>0.63/100*60</f>
        <v>0.378</v>
      </c>
    </row>
    <row r="445" spans="1:15" ht="15.75" x14ac:dyDescent="0.25">
      <c r="A445" s="45"/>
      <c r="B445" s="45" t="s">
        <v>127</v>
      </c>
      <c r="C445" s="45">
        <f>40.3/100*60</f>
        <v>24.18</v>
      </c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</row>
    <row r="446" spans="1:15" ht="15.75" x14ac:dyDescent="0.25">
      <c r="A446" s="45"/>
      <c r="B446" s="45" t="s">
        <v>47</v>
      </c>
      <c r="C446" s="45">
        <f>0.25/100*60</f>
        <v>0.15</v>
      </c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</row>
    <row r="447" spans="1:15" ht="15.75" x14ac:dyDescent="0.25">
      <c r="A447" s="45"/>
      <c r="B447" s="45" t="s">
        <v>37</v>
      </c>
      <c r="C447" s="45">
        <f>54.6/100*60</f>
        <v>32.760000000000005</v>
      </c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</row>
    <row r="448" spans="1:15" ht="15.75" x14ac:dyDescent="0.25">
      <c r="A448" s="45"/>
      <c r="B448" s="45" t="s">
        <v>41</v>
      </c>
      <c r="C448" s="45">
        <f>6/100*60</f>
        <v>3.5999999999999996</v>
      </c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</row>
    <row r="449" spans="1:15" ht="15.75" x14ac:dyDescent="0.25">
      <c r="A449" s="45">
        <v>126</v>
      </c>
      <c r="B449" s="44" t="s">
        <v>234</v>
      </c>
      <c r="C449" s="45">
        <v>250</v>
      </c>
      <c r="D449" s="45">
        <f>12.8/1000*250</f>
        <v>3.2</v>
      </c>
      <c r="E449" s="45">
        <f>20.7/1000*250</f>
        <v>5.1749999999999998</v>
      </c>
      <c r="F449" s="45">
        <f>60.8/1000*250</f>
        <v>15.2</v>
      </c>
      <c r="G449" s="45">
        <f>481/1000*250</f>
        <v>120.25</v>
      </c>
      <c r="H449" s="45">
        <f>0.42/1000*250</f>
        <v>0.105</v>
      </c>
      <c r="I449" s="45">
        <f>2.8/1000*250</f>
        <v>0.7</v>
      </c>
      <c r="J449" s="45">
        <v>0</v>
      </c>
      <c r="K449" s="45">
        <f>9.5/1000*250</f>
        <v>2.375</v>
      </c>
      <c r="L449" s="45">
        <f>84.6/1000*250</f>
        <v>21.15</v>
      </c>
      <c r="M449" s="45">
        <f>301.4/1000*250</f>
        <v>75.349999999999994</v>
      </c>
      <c r="N449" s="45">
        <f>17.2/1000*250</f>
        <v>4.3</v>
      </c>
      <c r="O449" s="45">
        <f>4.08/1000*250</f>
        <v>1.02</v>
      </c>
    </row>
    <row r="450" spans="1:15" ht="15.75" x14ac:dyDescent="0.25">
      <c r="A450" s="45"/>
      <c r="B450" s="45" t="s">
        <v>36</v>
      </c>
      <c r="C450" s="45">
        <v>10.07</v>
      </c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</row>
    <row r="451" spans="1:15" ht="15.75" x14ac:dyDescent="0.25">
      <c r="A451" s="45"/>
      <c r="B451" s="45" t="s">
        <v>37</v>
      </c>
      <c r="C451" s="45">
        <f>39/1000*250</f>
        <v>9.75</v>
      </c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</row>
    <row r="452" spans="1:15" ht="15.75" x14ac:dyDescent="0.25">
      <c r="A452" s="45"/>
      <c r="B452" s="45" t="s">
        <v>47</v>
      </c>
      <c r="C452" s="45">
        <f>8/1000*250</f>
        <v>2</v>
      </c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</row>
    <row r="453" spans="1:15" ht="15.75" x14ac:dyDescent="0.25">
      <c r="A453" s="45"/>
      <c r="B453" s="45" t="s">
        <v>335</v>
      </c>
      <c r="C453" s="45">
        <f>100/1000*250</f>
        <v>25</v>
      </c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</row>
    <row r="454" spans="1:15" ht="15.75" x14ac:dyDescent="0.25">
      <c r="A454" s="45"/>
      <c r="B454" s="45" t="s">
        <v>41</v>
      </c>
      <c r="C454" s="45">
        <f>20/1000*250</f>
        <v>5</v>
      </c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</row>
    <row r="455" spans="1:15" ht="15.75" x14ac:dyDescent="0.25">
      <c r="A455" s="45">
        <v>337</v>
      </c>
      <c r="B455" s="44" t="s">
        <v>154</v>
      </c>
      <c r="C455" s="45">
        <v>80</v>
      </c>
      <c r="D455" s="45">
        <f>16.2/100*80</f>
        <v>12.96</v>
      </c>
      <c r="E455" s="45">
        <f>12.9/100*80</f>
        <v>10.32</v>
      </c>
      <c r="F455" s="45">
        <f>5.8/100*80</f>
        <v>4.6399999999999997</v>
      </c>
      <c r="G455" s="45">
        <f>205/100*80</f>
        <v>164</v>
      </c>
      <c r="H455" s="45">
        <f>0.07/100*80</f>
        <v>5.6000000000000008E-2</v>
      </c>
      <c r="I455" s="45">
        <f>0.5/100*80</f>
        <v>0.4</v>
      </c>
      <c r="J455" s="45">
        <f>8.2/100*80</f>
        <v>6.5599999999999987</v>
      </c>
      <c r="K455" s="45">
        <f>0.4/100*80</f>
        <v>0.32</v>
      </c>
      <c r="L455" s="45">
        <f>54.2/100*80</f>
        <v>43.36</v>
      </c>
      <c r="M455" s="45">
        <f>185.8/100*80</f>
        <v>148.64000000000001</v>
      </c>
      <c r="N455" s="45">
        <f>23.8/100*80</f>
        <v>19.040000000000003</v>
      </c>
      <c r="O455" s="45">
        <f>2.31/100*80</f>
        <v>1.8479999999999999</v>
      </c>
    </row>
    <row r="456" spans="1:15" ht="15.75" x14ac:dyDescent="0.25">
      <c r="A456" s="45"/>
      <c r="B456" s="45" t="s">
        <v>125</v>
      </c>
      <c r="C456" s="45">
        <f>82/100*80</f>
        <v>65.599999999999994</v>
      </c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</row>
    <row r="457" spans="1:15" ht="15.75" x14ac:dyDescent="0.25">
      <c r="A457" s="45"/>
      <c r="B457" s="45" t="s">
        <v>23</v>
      </c>
      <c r="C457" s="45">
        <f>2/100*80</f>
        <v>1.6</v>
      </c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</row>
    <row r="458" spans="1:15" ht="15.75" x14ac:dyDescent="0.25">
      <c r="A458" s="45"/>
      <c r="B458" s="45" t="s">
        <v>96</v>
      </c>
      <c r="C458" s="45">
        <f>6.6/100*80</f>
        <v>5.28</v>
      </c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</row>
    <row r="459" spans="1:15" ht="15.75" x14ac:dyDescent="0.25">
      <c r="A459" s="45"/>
      <c r="B459" s="45" t="s">
        <v>47</v>
      </c>
      <c r="C459" s="45">
        <f>0.4/100*80</f>
        <v>0.32</v>
      </c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</row>
    <row r="460" spans="1:15" ht="15.75" x14ac:dyDescent="0.25">
      <c r="A460" s="45"/>
      <c r="B460" s="45" t="s">
        <v>25</v>
      </c>
      <c r="C460" s="45">
        <f>41/100*80</f>
        <v>32.799999999999997</v>
      </c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</row>
    <row r="461" spans="1:15" ht="15.75" x14ac:dyDescent="0.25">
      <c r="A461" s="45"/>
      <c r="B461" s="45" t="s">
        <v>27</v>
      </c>
      <c r="C461" s="45">
        <f>9/100*80</f>
        <v>7.1999999999999993</v>
      </c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</row>
    <row r="462" spans="1:15" ht="15.75" x14ac:dyDescent="0.25">
      <c r="A462" s="45">
        <v>178</v>
      </c>
      <c r="B462" s="44" t="s">
        <v>155</v>
      </c>
      <c r="C462" s="45">
        <v>150</v>
      </c>
      <c r="D462" s="45">
        <f>3.7/200*1580</f>
        <v>29.230000000000004</v>
      </c>
      <c r="E462" s="45">
        <f>12.9/200*150</f>
        <v>9.6750000000000007</v>
      </c>
      <c r="F462" s="45">
        <f>9.7/200*150</f>
        <v>7.2749999999999995</v>
      </c>
      <c r="G462" s="45">
        <f>169/200*150</f>
        <v>126.75</v>
      </c>
      <c r="H462" s="45">
        <f>0.07/200*150</f>
        <v>5.2500000000000005E-2</v>
      </c>
      <c r="I462" s="45">
        <f>2.4/200*150</f>
        <v>1.8</v>
      </c>
      <c r="J462" s="45">
        <f>44.4/200*150</f>
        <v>33.299999999999997</v>
      </c>
      <c r="K462" s="45">
        <f>4/200*150</f>
        <v>3</v>
      </c>
      <c r="L462" s="45">
        <f>56.7/200*150</f>
        <v>42.525000000000006</v>
      </c>
      <c r="M462" s="45">
        <f>74.8/200*150</f>
        <v>56.1</v>
      </c>
      <c r="N462" s="45">
        <f>29.8/200*150</f>
        <v>22.349999999999998</v>
      </c>
      <c r="O462" s="45">
        <f>0.85/200*150</f>
        <v>0.63750000000000007</v>
      </c>
    </row>
    <row r="463" spans="1:15" ht="15.75" x14ac:dyDescent="0.25">
      <c r="A463" s="45"/>
      <c r="B463" s="45" t="s">
        <v>156</v>
      </c>
      <c r="C463" s="45">
        <f>32.1/200*150</f>
        <v>24.074999999999999</v>
      </c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</row>
    <row r="464" spans="1:15" ht="15.75" x14ac:dyDescent="0.25">
      <c r="A464" s="45"/>
      <c r="B464" s="45" t="s">
        <v>38</v>
      </c>
      <c r="C464" s="45">
        <f>40/200*150</f>
        <v>30</v>
      </c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</row>
    <row r="465" spans="1:15" ht="15.75" x14ac:dyDescent="0.25">
      <c r="A465" s="45"/>
      <c r="B465" s="45" t="s">
        <v>77</v>
      </c>
      <c r="C465" s="45">
        <f>64.5/200*150</f>
        <v>48.375</v>
      </c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</row>
    <row r="466" spans="1:15" ht="15.75" x14ac:dyDescent="0.25">
      <c r="A466" s="45"/>
      <c r="B466" s="45" t="s">
        <v>37</v>
      </c>
      <c r="C466" s="45">
        <f>31.2/200*150</f>
        <v>23.4</v>
      </c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</row>
    <row r="467" spans="1:15" ht="15.75" x14ac:dyDescent="0.25">
      <c r="A467" s="45"/>
      <c r="B467" s="45" t="s">
        <v>41</v>
      </c>
      <c r="C467" s="45">
        <f>8/200*150</f>
        <v>6</v>
      </c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</row>
    <row r="468" spans="1:15" ht="15.75" x14ac:dyDescent="0.25">
      <c r="A468" s="45"/>
      <c r="B468" s="45" t="s">
        <v>47</v>
      </c>
      <c r="C468" s="45">
        <f>1/200*150</f>
        <v>0.75</v>
      </c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</row>
    <row r="469" spans="1:15" ht="31.5" x14ac:dyDescent="0.25">
      <c r="A469" s="45"/>
      <c r="B469" s="45" t="s">
        <v>157</v>
      </c>
      <c r="C469" s="45">
        <f>9.7/200*150</f>
        <v>7.2749999999999995</v>
      </c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</row>
    <row r="470" spans="1:15" ht="15.75" x14ac:dyDescent="0.25">
      <c r="A470" s="45"/>
      <c r="B470" s="45" t="s">
        <v>35</v>
      </c>
      <c r="C470" s="45">
        <f>30/200*150</f>
        <v>22.5</v>
      </c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</row>
    <row r="471" spans="1:15" ht="15.75" x14ac:dyDescent="0.25">
      <c r="A471" s="45"/>
      <c r="B471" s="45" t="s">
        <v>46</v>
      </c>
      <c r="C471" s="45">
        <f>4.8/200*150</f>
        <v>3.6</v>
      </c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</row>
    <row r="472" spans="1:15" ht="15.75" x14ac:dyDescent="0.25">
      <c r="A472" s="45"/>
      <c r="B472" s="45" t="s">
        <v>23</v>
      </c>
      <c r="C472" s="45">
        <v>1.5</v>
      </c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</row>
    <row r="473" spans="1:15" ht="15.75" x14ac:dyDescent="0.25">
      <c r="A473" s="45">
        <v>491</v>
      </c>
      <c r="B473" s="44" t="s">
        <v>352</v>
      </c>
      <c r="C473" s="45">
        <v>200</v>
      </c>
      <c r="D473" s="45">
        <v>0.2</v>
      </c>
      <c r="E473" s="45">
        <v>0.1</v>
      </c>
      <c r="F473" s="45">
        <v>10.7</v>
      </c>
      <c r="G473" s="45">
        <v>44</v>
      </c>
      <c r="H473" s="45">
        <v>0.01</v>
      </c>
      <c r="I473" s="45">
        <v>16.5</v>
      </c>
      <c r="J473" s="45">
        <v>0</v>
      </c>
      <c r="K473" s="45">
        <v>0.1</v>
      </c>
      <c r="L473" s="45">
        <v>7.5</v>
      </c>
      <c r="M473" s="45">
        <v>6.4</v>
      </c>
      <c r="N473" s="45">
        <v>6.1</v>
      </c>
      <c r="O473" s="45">
        <v>0.28999999999999998</v>
      </c>
    </row>
    <row r="474" spans="1:15" ht="15.75" x14ac:dyDescent="0.25">
      <c r="A474" s="45"/>
      <c r="B474" s="45" t="s">
        <v>359</v>
      </c>
      <c r="C474" s="45">
        <v>20</v>
      </c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</row>
    <row r="475" spans="1:15" ht="15.75" x14ac:dyDescent="0.25">
      <c r="A475" s="45"/>
      <c r="B475" s="45" t="s">
        <v>22</v>
      </c>
      <c r="C475" s="45">
        <v>10</v>
      </c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</row>
    <row r="476" spans="1:15" ht="15.75" x14ac:dyDescent="0.25">
      <c r="A476" s="45"/>
      <c r="B476" s="44" t="s">
        <v>107</v>
      </c>
      <c r="C476" s="45">
        <v>40</v>
      </c>
      <c r="D476" s="45">
        <v>3.04</v>
      </c>
      <c r="E476" s="45">
        <v>0.32</v>
      </c>
      <c r="F476" s="45">
        <v>19.68</v>
      </c>
      <c r="G476" s="45">
        <v>94</v>
      </c>
      <c r="H476" s="45">
        <v>0.04</v>
      </c>
      <c r="I476" s="45">
        <v>0</v>
      </c>
      <c r="J476" s="45">
        <v>0</v>
      </c>
      <c r="K476" s="45">
        <v>0.44</v>
      </c>
      <c r="L476" s="45">
        <v>8</v>
      </c>
      <c r="M476" s="45">
        <v>26</v>
      </c>
      <c r="N476" s="45">
        <v>5.6</v>
      </c>
      <c r="O476" s="45">
        <v>0.44</v>
      </c>
    </row>
    <row r="477" spans="1:15" ht="15.75" x14ac:dyDescent="0.25">
      <c r="A477" s="45"/>
      <c r="B477" s="44" t="s">
        <v>73</v>
      </c>
      <c r="C477" s="45">
        <v>30</v>
      </c>
      <c r="D477" s="45">
        <v>2.64</v>
      </c>
      <c r="E477" s="45">
        <v>0.48</v>
      </c>
      <c r="F477" s="45">
        <v>13.36</v>
      </c>
      <c r="G477" s="45">
        <v>69.599999999999994</v>
      </c>
      <c r="H477" s="45">
        <v>7.0000000000000007E-2</v>
      </c>
      <c r="I477" s="45">
        <v>0</v>
      </c>
      <c r="J477" s="45">
        <v>0</v>
      </c>
      <c r="K477" s="45">
        <v>0.56000000000000005</v>
      </c>
      <c r="L477" s="45">
        <v>14</v>
      </c>
      <c r="M477" s="45">
        <v>63.2</v>
      </c>
      <c r="N477" s="45">
        <v>18.8</v>
      </c>
      <c r="O477" s="45">
        <v>1.56</v>
      </c>
    </row>
    <row r="478" spans="1:15" s="7" customFormat="1" ht="15.75" x14ac:dyDescent="0.25">
      <c r="A478" s="44"/>
      <c r="B478" s="44" t="s">
        <v>375</v>
      </c>
      <c r="C478" s="44"/>
      <c r="D478" s="44">
        <f>D479+D487</f>
        <v>24</v>
      </c>
      <c r="E478" s="44">
        <f t="shared" ref="E478:O478" si="22">E479+E487</f>
        <v>18.489999999999998</v>
      </c>
      <c r="F478" s="44">
        <f t="shared" si="22"/>
        <v>31.01</v>
      </c>
      <c r="G478" s="44">
        <f t="shared" si="22"/>
        <v>385.99</v>
      </c>
      <c r="H478" s="44">
        <f t="shared" si="22"/>
        <v>0.9</v>
      </c>
      <c r="I478" s="44">
        <f t="shared" si="22"/>
        <v>0.41</v>
      </c>
      <c r="J478" s="44">
        <f t="shared" si="22"/>
        <v>9</v>
      </c>
      <c r="K478" s="44">
        <f t="shared" si="22"/>
        <v>0.8</v>
      </c>
      <c r="L478" s="44">
        <f t="shared" si="22"/>
        <v>205.01</v>
      </c>
      <c r="M478" s="44">
        <f t="shared" si="22"/>
        <v>308</v>
      </c>
      <c r="N478" s="44">
        <f t="shared" si="22"/>
        <v>32</v>
      </c>
      <c r="O478" s="44">
        <f t="shared" si="22"/>
        <v>1.01</v>
      </c>
    </row>
    <row r="479" spans="1:15" ht="31.5" x14ac:dyDescent="0.25">
      <c r="A479" s="45">
        <v>286</v>
      </c>
      <c r="B479" s="44" t="s">
        <v>159</v>
      </c>
      <c r="C479" s="45">
        <v>150</v>
      </c>
      <c r="D479" s="45">
        <v>24</v>
      </c>
      <c r="E479" s="45">
        <v>18.489999999999998</v>
      </c>
      <c r="F479" s="45">
        <v>31.01</v>
      </c>
      <c r="G479" s="45">
        <v>385.99</v>
      </c>
      <c r="H479" s="45">
        <v>0.9</v>
      </c>
      <c r="I479" s="45">
        <v>0.41</v>
      </c>
      <c r="J479" s="45">
        <v>9</v>
      </c>
      <c r="K479" s="45">
        <v>0.8</v>
      </c>
      <c r="L479" s="45">
        <v>205.01</v>
      </c>
      <c r="M479" s="45">
        <v>308</v>
      </c>
      <c r="N479" s="45">
        <v>32</v>
      </c>
      <c r="O479" s="45">
        <v>1.01</v>
      </c>
    </row>
    <row r="480" spans="1:15" ht="15.75" x14ac:dyDescent="0.25">
      <c r="A480" s="45"/>
      <c r="B480" s="45" t="s">
        <v>92</v>
      </c>
      <c r="C480" s="45">
        <v>10.99</v>
      </c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</row>
    <row r="481" spans="1:15" ht="15.75" x14ac:dyDescent="0.25">
      <c r="A481" s="45"/>
      <c r="B481" s="45" t="s">
        <v>22</v>
      </c>
      <c r="C481" s="45">
        <v>15</v>
      </c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</row>
    <row r="482" spans="1:15" ht="15.75" x14ac:dyDescent="0.25">
      <c r="A482" s="45"/>
      <c r="B482" s="45" t="s">
        <v>23</v>
      </c>
      <c r="C482" s="45">
        <v>2</v>
      </c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</row>
    <row r="483" spans="1:15" ht="15.75" x14ac:dyDescent="0.25">
      <c r="A483" s="45"/>
      <c r="B483" s="45" t="s">
        <v>94</v>
      </c>
      <c r="C483" s="45">
        <v>135</v>
      </c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</row>
    <row r="484" spans="1:15" ht="15.75" x14ac:dyDescent="0.25">
      <c r="A484" s="45"/>
      <c r="B484" s="45" t="s">
        <v>35</v>
      </c>
      <c r="C484" s="45">
        <v>4.99</v>
      </c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</row>
    <row r="485" spans="1:15" ht="15.75" x14ac:dyDescent="0.25">
      <c r="A485" s="45"/>
      <c r="B485" s="45" t="s">
        <v>46</v>
      </c>
      <c r="C485" s="45">
        <v>10.01</v>
      </c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</row>
    <row r="486" spans="1:15" ht="15.75" x14ac:dyDescent="0.25">
      <c r="A486" s="45"/>
      <c r="B486" s="45" t="s">
        <v>95</v>
      </c>
      <c r="C486" s="45">
        <v>0.01</v>
      </c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</row>
    <row r="487" spans="1:15" ht="15.75" x14ac:dyDescent="0.25">
      <c r="A487" s="45"/>
      <c r="B487" s="45" t="s">
        <v>96</v>
      </c>
      <c r="C487" s="45">
        <v>4.99</v>
      </c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</row>
    <row r="488" spans="1:15" ht="15.75" x14ac:dyDescent="0.25">
      <c r="A488" s="45"/>
      <c r="B488" s="44" t="s">
        <v>160</v>
      </c>
      <c r="C488" s="45">
        <v>200</v>
      </c>
      <c r="D488" s="45">
        <v>10</v>
      </c>
      <c r="E488" s="45">
        <v>6.4</v>
      </c>
      <c r="F488" s="45">
        <v>17</v>
      </c>
      <c r="G488" s="45">
        <v>174</v>
      </c>
      <c r="H488" s="45">
        <v>0.06</v>
      </c>
      <c r="I488" s="45">
        <v>1.2</v>
      </c>
      <c r="J488" s="45">
        <v>0.04</v>
      </c>
      <c r="K488" s="45">
        <v>0</v>
      </c>
      <c r="L488" s="45">
        <v>238</v>
      </c>
      <c r="M488" s="45">
        <v>182</v>
      </c>
      <c r="N488" s="45">
        <v>28</v>
      </c>
      <c r="O488" s="45">
        <v>0.2</v>
      </c>
    </row>
    <row r="489" spans="1:15" s="7" customFormat="1" ht="15.75" x14ac:dyDescent="0.25">
      <c r="A489" s="44"/>
      <c r="B489" s="44" t="s">
        <v>66</v>
      </c>
      <c r="C489" s="44"/>
      <c r="D489" s="44">
        <f t="shared" ref="D489:O489" si="23">D393+D413+D443+D478</f>
        <v>140.755</v>
      </c>
      <c r="E489" s="44">
        <f t="shared" si="23"/>
        <v>100.535</v>
      </c>
      <c r="F489" s="44">
        <f t="shared" si="23"/>
        <v>238.66</v>
      </c>
      <c r="G489" s="44">
        <f t="shared" si="23"/>
        <v>2317.62</v>
      </c>
      <c r="H489" s="44">
        <f t="shared" si="23"/>
        <v>1.9205000000000001</v>
      </c>
      <c r="I489" s="44">
        <f t="shared" si="23"/>
        <v>35.379999999999995</v>
      </c>
      <c r="J489" s="44">
        <f t="shared" si="23"/>
        <v>311.37785714285712</v>
      </c>
      <c r="K489" s="44">
        <f t="shared" si="23"/>
        <v>14.870000000000001</v>
      </c>
      <c r="L489" s="44">
        <f t="shared" si="23"/>
        <v>955.09500000000003</v>
      </c>
      <c r="M489" s="44">
        <f t="shared" si="23"/>
        <v>1506.7550000000001</v>
      </c>
      <c r="N489" s="44">
        <f t="shared" si="23"/>
        <v>299.86571428571426</v>
      </c>
      <c r="O489" s="44">
        <f t="shared" si="23"/>
        <v>19.296500000000005</v>
      </c>
    </row>
    <row r="490" spans="1:15" ht="15.75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</row>
    <row r="491" spans="1:15" ht="18" x14ac:dyDescent="0.25">
      <c r="A491" s="1" t="s">
        <v>161</v>
      </c>
    </row>
    <row r="493" spans="1:15" ht="15.75" x14ac:dyDescent="0.25">
      <c r="A493" s="2" t="s">
        <v>19</v>
      </c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</row>
    <row r="494" spans="1:15" ht="15" x14ac:dyDescent="0.2">
      <c r="A494" s="62" t="s">
        <v>17</v>
      </c>
      <c r="B494" s="61" t="s">
        <v>0</v>
      </c>
      <c r="C494" s="61" t="s">
        <v>1</v>
      </c>
      <c r="D494" s="63" t="s">
        <v>9</v>
      </c>
      <c r="E494" s="64"/>
      <c r="F494" s="65"/>
      <c r="G494" s="61" t="s">
        <v>10</v>
      </c>
      <c r="H494" s="61" t="s">
        <v>7</v>
      </c>
      <c r="I494" s="61"/>
      <c r="J494" s="61"/>
      <c r="K494" s="61"/>
      <c r="L494" s="61" t="s">
        <v>8</v>
      </c>
      <c r="M494" s="61"/>
      <c r="N494" s="61"/>
      <c r="O494" s="61"/>
    </row>
    <row r="495" spans="1:15" ht="30" x14ac:dyDescent="0.2">
      <c r="A495" s="62"/>
      <c r="B495" s="61"/>
      <c r="C495" s="61"/>
      <c r="D495" s="41" t="s">
        <v>2</v>
      </c>
      <c r="E495" s="42" t="s">
        <v>3</v>
      </c>
      <c r="F495" s="42" t="s">
        <v>4</v>
      </c>
      <c r="G495" s="61"/>
      <c r="H495" s="42" t="s">
        <v>11</v>
      </c>
      <c r="I495" s="42" t="s">
        <v>12</v>
      </c>
      <c r="J495" s="42" t="s">
        <v>13</v>
      </c>
      <c r="K495" s="42" t="s">
        <v>5</v>
      </c>
      <c r="L495" s="43" t="s">
        <v>14</v>
      </c>
      <c r="M495" s="42" t="s">
        <v>15</v>
      </c>
      <c r="N495" s="42" t="s">
        <v>6</v>
      </c>
      <c r="O495" s="42" t="s">
        <v>16</v>
      </c>
    </row>
    <row r="496" spans="1:15" ht="15.75" x14ac:dyDescent="0.25">
      <c r="A496" s="44"/>
      <c r="B496" s="44" t="s">
        <v>372</v>
      </c>
      <c r="C496" s="44"/>
      <c r="D496" s="44">
        <f>D497+D504+D509+D515+D518+D519</f>
        <v>27.919999999999998</v>
      </c>
      <c r="E496" s="44">
        <f t="shared" ref="E496:O496" si="24">E497+E504+E509+E515+E518+E519</f>
        <v>26.060000000000002</v>
      </c>
      <c r="F496" s="44">
        <f t="shared" si="24"/>
        <v>75.180000000000007</v>
      </c>
      <c r="G496" s="44">
        <f t="shared" si="24"/>
        <v>647.67999999999995</v>
      </c>
      <c r="H496" s="44">
        <f t="shared" si="24"/>
        <v>0.21000000000000002</v>
      </c>
      <c r="I496" s="44">
        <f t="shared" si="24"/>
        <v>1.1300000000000001</v>
      </c>
      <c r="J496" s="44">
        <f t="shared" si="24"/>
        <v>175.99940766550523</v>
      </c>
      <c r="K496" s="44">
        <f t="shared" si="24"/>
        <v>2.44</v>
      </c>
      <c r="L496" s="44">
        <f t="shared" si="24"/>
        <v>164.39999999999998</v>
      </c>
      <c r="M496" s="44">
        <f t="shared" si="24"/>
        <v>316.29999999999995</v>
      </c>
      <c r="N496" s="44">
        <f t="shared" si="24"/>
        <v>57.400000000000006</v>
      </c>
      <c r="O496" s="44">
        <f t="shared" si="24"/>
        <v>5.21</v>
      </c>
    </row>
    <row r="497" spans="1:15" ht="15.75" x14ac:dyDescent="0.25">
      <c r="A497" s="45">
        <v>368</v>
      </c>
      <c r="B497" s="44" t="s">
        <v>162</v>
      </c>
      <c r="C497" s="45">
        <v>80</v>
      </c>
      <c r="D497" s="45">
        <v>14.62</v>
      </c>
      <c r="E497" s="45">
        <f>13.3/70*80</f>
        <v>15.2</v>
      </c>
      <c r="F497" s="45">
        <f>2.8/70*80</f>
        <v>3.2</v>
      </c>
      <c r="G497" s="45">
        <f>182/70*80</f>
        <v>208</v>
      </c>
      <c r="H497" s="45">
        <v>0.04</v>
      </c>
      <c r="I497" s="45">
        <v>0.91</v>
      </c>
      <c r="J497" s="45">
        <f>100.2/70*80</f>
        <v>114.51428571428572</v>
      </c>
      <c r="K497" s="45">
        <v>0.56999999999999995</v>
      </c>
      <c r="L497" s="45">
        <v>45.4</v>
      </c>
      <c r="M497" s="45">
        <v>125.7</v>
      </c>
      <c r="N497" s="45">
        <f>11.9/70*80</f>
        <v>13.600000000000001</v>
      </c>
      <c r="O497" s="45">
        <v>1.29</v>
      </c>
    </row>
    <row r="498" spans="1:15" ht="15.75" x14ac:dyDescent="0.25">
      <c r="A498" s="45"/>
      <c r="B498" s="45" t="s">
        <v>285</v>
      </c>
      <c r="C498" s="45">
        <v>52.57</v>
      </c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</row>
    <row r="499" spans="1:15" ht="15.75" x14ac:dyDescent="0.25">
      <c r="A499" s="45"/>
      <c r="B499" s="45" t="s">
        <v>46</v>
      </c>
      <c r="C499" s="45">
        <v>3.08</v>
      </c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</row>
    <row r="500" spans="1:15" ht="15.75" x14ac:dyDescent="0.25">
      <c r="A500" s="45"/>
      <c r="B500" s="45" t="s">
        <v>47</v>
      </c>
      <c r="C500" s="45">
        <v>0.34</v>
      </c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</row>
    <row r="501" spans="1:15" ht="15.75" x14ac:dyDescent="0.25">
      <c r="A501" s="45"/>
      <c r="B501" s="45" t="s">
        <v>25</v>
      </c>
      <c r="C501" s="45">
        <v>17.48</v>
      </c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</row>
    <row r="502" spans="1:15" ht="15.75" x14ac:dyDescent="0.25">
      <c r="A502" s="45"/>
      <c r="B502" s="45" t="s">
        <v>23</v>
      </c>
      <c r="C502" s="45">
        <v>5.71</v>
      </c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</row>
    <row r="503" spans="1:15" ht="15.75" x14ac:dyDescent="0.25">
      <c r="A503" s="45"/>
      <c r="B503" s="45" t="s">
        <v>96</v>
      </c>
      <c r="C503" s="45">
        <f>13.3/70*80</f>
        <v>15.2</v>
      </c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</row>
    <row r="504" spans="1:15" ht="15.75" x14ac:dyDescent="0.25">
      <c r="A504" s="45">
        <v>402</v>
      </c>
      <c r="B504" s="44" t="s">
        <v>164</v>
      </c>
      <c r="C504" s="45">
        <v>35</v>
      </c>
      <c r="D504" s="45">
        <v>1.28</v>
      </c>
      <c r="E504" s="45">
        <f>84/1000*35</f>
        <v>2.9400000000000004</v>
      </c>
      <c r="F504" s="45">
        <v>2.5</v>
      </c>
      <c r="G504" s="45">
        <v>41.26</v>
      </c>
      <c r="H504" s="45">
        <v>0.01</v>
      </c>
      <c r="I504" s="45">
        <v>0.22</v>
      </c>
      <c r="J504" s="45">
        <f>494/1000*35</f>
        <v>17.29</v>
      </c>
      <c r="K504" s="45">
        <f>2/1000*35</f>
        <v>7.0000000000000007E-2</v>
      </c>
      <c r="L504" s="45">
        <v>39.799999999999997</v>
      </c>
      <c r="M504" s="45">
        <v>29.9</v>
      </c>
      <c r="N504" s="45">
        <v>4.9000000000000004</v>
      </c>
      <c r="O504" s="45">
        <v>7.0000000000000007E-2</v>
      </c>
    </row>
    <row r="505" spans="1:15" ht="15.75" x14ac:dyDescent="0.25">
      <c r="A505" s="45"/>
      <c r="B505" s="45" t="s">
        <v>46</v>
      </c>
      <c r="C505" s="45">
        <f>80/1000*35</f>
        <v>2.8000000000000003</v>
      </c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</row>
    <row r="506" spans="1:15" ht="15.75" x14ac:dyDescent="0.25">
      <c r="A506" s="45"/>
      <c r="B506" s="45" t="s">
        <v>47</v>
      </c>
      <c r="C506" s="45">
        <f>8/1000*35</f>
        <v>0.28000000000000003</v>
      </c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</row>
    <row r="507" spans="1:15" ht="15.75" x14ac:dyDescent="0.25">
      <c r="A507" s="45"/>
      <c r="B507" s="45" t="s">
        <v>25</v>
      </c>
      <c r="C507" s="45">
        <f>1000/1000*35</f>
        <v>35</v>
      </c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</row>
    <row r="508" spans="1:15" ht="15.75" x14ac:dyDescent="0.25">
      <c r="A508" s="45"/>
      <c r="B508" s="45" t="s">
        <v>23</v>
      </c>
      <c r="C508" s="45">
        <f>80/1000*35</f>
        <v>2.8000000000000003</v>
      </c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</row>
    <row r="509" spans="1:15" ht="31.5" x14ac:dyDescent="0.25">
      <c r="A509" s="45">
        <v>261</v>
      </c>
      <c r="B509" s="44" t="s">
        <v>165</v>
      </c>
      <c r="C509" s="45">
        <v>150</v>
      </c>
      <c r="D509" s="45">
        <v>6.14</v>
      </c>
      <c r="E509" s="45">
        <v>7.02</v>
      </c>
      <c r="F509" s="45">
        <v>27.14</v>
      </c>
      <c r="G509" s="45">
        <v>196.82</v>
      </c>
      <c r="H509" s="45">
        <v>0.05</v>
      </c>
      <c r="I509" s="45">
        <v>0</v>
      </c>
      <c r="J509" s="45">
        <f>60.4/205*150</f>
        <v>44.195121951219512</v>
      </c>
      <c r="K509" s="45">
        <v>0.8</v>
      </c>
      <c r="L509" s="45">
        <v>52.1</v>
      </c>
      <c r="M509" s="45">
        <v>63.8</v>
      </c>
      <c r="N509" s="45">
        <v>10.3</v>
      </c>
      <c r="O509" s="45">
        <v>1.03</v>
      </c>
    </row>
    <row r="510" spans="1:15" ht="15.75" x14ac:dyDescent="0.25">
      <c r="A510" s="45"/>
      <c r="B510" s="45" t="s">
        <v>68</v>
      </c>
      <c r="C510" s="45">
        <v>4.17</v>
      </c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</row>
    <row r="511" spans="1:15" ht="15.75" x14ac:dyDescent="0.25">
      <c r="A511" s="45"/>
      <c r="B511" s="45" t="s">
        <v>23</v>
      </c>
      <c r="C511" s="45">
        <v>7.31</v>
      </c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</row>
    <row r="512" spans="1:15" ht="15.75" x14ac:dyDescent="0.25">
      <c r="A512" s="45"/>
      <c r="B512" s="45" t="s">
        <v>47</v>
      </c>
      <c r="C512" s="45">
        <v>2.92</v>
      </c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</row>
    <row r="513" spans="1:15" ht="15.75" x14ac:dyDescent="0.25">
      <c r="A513" s="45"/>
      <c r="B513" s="45" t="s">
        <v>123</v>
      </c>
      <c r="C513" s="45">
        <v>46.82</v>
      </c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</row>
    <row r="514" spans="1:15" ht="15.75" x14ac:dyDescent="0.25">
      <c r="A514" s="45"/>
      <c r="B514" s="45" t="s">
        <v>41</v>
      </c>
      <c r="C514" s="45">
        <v>1.46</v>
      </c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</row>
    <row r="515" spans="1:15" ht="15.75" x14ac:dyDescent="0.25">
      <c r="A515" s="45">
        <v>457</v>
      </c>
      <c r="B515" s="44" t="s">
        <v>70</v>
      </c>
      <c r="C515" s="45">
        <v>200</v>
      </c>
      <c r="D515" s="45">
        <v>0.2</v>
      </c>
      <c r="E515" s="45">
        <v>0.1</v>
      </c>
      <c r="F515" s="45">
        <v>9.3000000000000007</v>
      </c>
      <c r="G515" s="45">
        <v>38</v>
      </c>
      <c r="H515" s="45">
        <v>0</v>
      </c>
      <c r="I515" s="45">
        <v>0</v>
      </c>
      <c r="J515" s="45">
        <v>0</v>
      </c>
      <c r="K515" s="45">
        <v>0</v>
      </c>
      <c r="L515" s="45">
        <v>5.0999999999999996</v>
      </c>
      <c r="M515" s="45">
        <v>7.7</v>
      </c>
      <c r="N515" s="45">
        <v>4.2</v>
      </c>
      <c r="O515" s="45">
        <v>0.82</v>
      </c>
    </row>
    <row r="516" spans="1:15" ht="15.75" x14ac:dyDescent="0.25">
      <c r="A516" s="45"/>
      <c r="B516" s="45" t="s">
        <v>22</v>
      </c>
      <c r="C516" s="45">
        <v>10</v>
      </c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</row>
    <row r="517" spans="1:15" ht="15.75" x14ac:dyDescent="0.25">
      <c r="A517" s="45"/>
      <c r="B517" s="45" t="s">
        <v>71</v>
      </c>
      <c r="C517" s="45">
        <v>1</v>
      </c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</row>
    <row r="518" spans="1:15" ht="15.75" x14ac:dyDescent="0.25">
      <c r="A518" s="45"/>
      <c r="B518" s="44" t="s">
        <v>107</v>
      </c>
      <c r="C518" s="45">
        <v>40</v>
      </c>
      <c r="D518" s="45">
        <v>3.04</v>
      </c>
      <c r="E518" s="45">
        <v>0.32</v>
      </c>
      <c r="F518" s="45">
        <v>19.68</v>
      </c>
      <c r="G518" s="45">
        <v>94</v>
      </c>
      <c r="H518" s="45">
        <v>0.04</v>
      </c>
      <c r="I518" s="45">
        <v>0</v>
      </c>
      <c r="J518" s="45">
        <v>0</v>
      </c>
      <c r="K518" s="45">
        <v>0.44</v>
      </c>
      <c r="L518" s="45">
        <v>8</v>
      </c>
      <c r="M518" s="45">
        <v>26</v>
      </c>
      <c r="N518" s="45">
        <v>5.6</v>
      </c>
      <c r="O518" s="45">
        <v>0.44</v>
      </c>
    </row>
    <row r="519" spans="1:15" ht="15.75" x14ac:dyDescent="0.25">
      <c r="A519" s="45"/>
      <c r="B519" s="44" t="s">
        <v>73</v>
      </c>
      <c r="C519" s="45">
        <v>30</v>
      </c>
      <c r="D519" s="45">
        <v>2.64</v>
      </c>
      <c r="E519" s="45">
        <v>0.48</v>
      </c>
      <c r="F519" s="45">
        <v>13.36</v>
      </c>
      <c r="G519" s="45">
        <v>69.599999999999994</v>
      </c>
      <c r="H519" s="45">
        <v>7.0000000000000007E-2</v>
      </c>
      <c r="I519" s="45">
        <v>0</v>
      </c>
      <c r="J519" s="45">
        <v>0</v>
      </c>
      <c r="K519" s="45">
        <v>0.56000000000000005</v>
      </c>
      <c r="L519" s="45">
        <v>14</v>
      </c>
      <c r="M519" s="45">
        <v>63.2</v>
      </c>
      <c r="N519" s="45">
        <v>18.8</v>
      </c>
      <c r="O519" s="45">
        <v>1.56</v>
      </c>
    </row>
    <row r="520" spans="1:15" ht="15.75" x14ac:dyDescent="0.25">
      <c r="A520" s="45"/>
      <c r="B520" s="44" t="s">
        <v>166</v>
      </c>
      <c r="C520" s="45">
        <v>100</v>
      </c>
      <c r="D520" s="45">
        <v>0.8</v>
      </c>
      <c r="E520" s="45">
        <v>0.2</v>
      </c>
      <c r="F520" s="45">
        <v>7.5</v>
      </c>
      <c r="G520" s="45">
        <v>38</v>
      </c>
      <c r="H520" s="45">
        <v>0.06</v>
      </c>
      <c r="I520" s="45">
        <v>38</v>
      </c>
      <c r="J520" s="45">
        <v>0</v>
      </c>
      <c r="K520" s="45">
        <v>0.2</v>
      </c>
      <c r="L520" s="45">
        <v>35</v>
      </c>
      <c r="M520" s="45">
        <v>17</v>
      </c>
      <c r="N520" s="45">
        <v>11</v>
      </c>
      <c r="O520" s="45">
        <v>0.1</v>
      </c>
    </row>
    <row r="521" spans="1:15" s="7" customFormat="1" ht="15.75" x14ac:dyDescent="0.25">
      <c r="A521" s="44"/>
      <c r="B521" s="44" t="s">
        <v>373</v>
      </c>
      <c r="C521" s="44"/>
      <c r="D521" s="44">
        <f t="shared" ref="D521:O521" si="25">D522+D526+D534+D540+D545+D549+D550</f>
        <v>22.04</v>
      </c>
      <c r="E521" s="44">
        <f t="shared" si="25"/>
        <v>15.870000000000001</v>
      </c>
      <c r="F521" s="44">
        <f t="shared" si="25"/>
        <v>86.97</v>
      </c>
      <c r="G521" s="44">
        <f t="shared" si="25"/>
        <v>579.6</v>
      </c>
      <c r="H521" s="44">
        <f t="shared" si="25"/>
        <v>0.37</v>
      </c>
      <c r="I521" s="44">
        <f t="shared" si="25"/>
        <v>18.229999999999997</v>
      </c>
      <c r="J521" s="44">
        <f t="shared" si="25"/>
        <v>46.589999999999996</v>
      </c>
      <c r="K521" s="44">
        <f t="shared" si="25"/>
        <v>7.68</v>
      </c>
      <c r="L521" s="44">
        <f t="shared" si="25"/>
        <v>183.1</v>
      </c>
      <c r="M521" s="44">
        <f t="shared" si="25"/>
        <v>400.09</v>
      </c>
      <c r="N521" s="44">
        <f t="shared" si="25"/>
        <v>127.07999999999998</v>
      </c>
      <c r="O521" s="44">
        <f t="shared" si="25"/>
        <v>5.0440000000000005</v>
      </c>
    </row>
    <row r="522" spans="1:15" ht="15.75" x14ac:dyDescent="0.25">
      <c r="A522" s="45">
        <v>21</v>
      </c>
      <c r="B522" s="44" t="s">
        <v>288</v>
      </c>
      <c r="C522" s="45">
        <v>60</v>
      </c>
      <c r="D522" s="45">
        <f>1.2/100*60</f>
        <v>0.72</v>
      </c>
      <c r="E522" s="45">
        <f>6.1/100*60</f>
        <v>3.66</v>
      </c>
      <c r="F522" s="45">
        <f>11.2/100*60</f>
        <v>6.7199999999999989</v>
      </c>
      <c r="G522" s="45">
        <f>104/100*60</f>
        <v>62.400000000000006</v>
      </c>
      <c r="H522" s="45">
        <f>0.05/100*60</f>
        <v>0.03</v>
      </c>
      <c r="I522" s="45">
        <f>3.1/100*60</f>
        <v>1.8599999999999999</v>
      </c>
      <c r="J522" s="45">
        <v>0</v>
      </c>
      <c r="K522" s="45">
        <f>3.9/100*60</f>
        <v>2.34</v>
      </c>
      <c r="L522" s="45">
        <f>24.4/100*60</f>
        <v>14.64</v>
      </c>
      <c r="M522" s="45">
        <f>49.5/100*60</f>
        <v>29.7</v>
      </c>
      <c r="N522" s="45">
        <f>34/100*60</f>
        <v>20.400000000000002</v>
      </c>
      <c r="O522" s="45">
        <f>0.64/100*60</f>
        <v>0.38400000000000001</v>
      </c>
    </row>
    <row r="523" spans="1:15" ht="15.75" x14ac:dyDescent="0.25">
      <c r="A523" s="45"/>
      <c r="B523" s="45" t="s">
        <v>37</v>
      </c>
      <c r="C523" s="45">
        <f>89.7/100*60</f>
        <v>53.82</v>
      </c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</row>
    <row r="524" spans="1:15" ht="15.75" x14ac:dyDescent="0.25">
      <c r="A524" s="45"/>
      <c r="B524" s="45" t="s">
        <v>22</v>
      </c>
      <c r="C524" s="45">
        <f>5/100*60</f>
        <v>3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</row>
    <row r="525" spans="1:15" ht="15.75" x14ac:dyDescent="0.25">
      <c r="A525" s="45"/>
      <c r="B525" s="45" t="s">
        <v>41</v>
      </c>
      <c r="C525" s="45">
        <f>6/100*60</f>
        <v>3.5999999999999996</v>
      </c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</row>
    <row r="526" spans="1:15" ht="15.75" x14ac:dyDescent="0.25">
      <c r="A526" s="45">
        <v>104</v>
      </c>
      <c r="B526" s="44" t="s">
        <v>76</v>
      </c>
      <c r="C526" s="45">
        <v>250</v>
      </c>
      <c r="D526" s="45">
        <v>1.57</v>
      </c>
      <c r="E526" s="45">
        <f>18/1000*250</f>
        <v>4.5</v>
      </c>
      <c r="F526" s="45">
        <v>5.7</v>
      </c>
      <c r="G526" s="45">
        <f>280/1000*250</f>
        <v>70</v>
      </c>
      <c r="H526" s="45">
        <v>0.05</v>
      </c>
      <c r="I526" s="45">
        <f>47.6/1000*250</f>
        <v>11.9</v>
      </c>
      <c r="J526" s="45">
        <v>0</v>
      </c>
      <c r="K526" s="45">
        <f>9.4/1000*250</f>
        <v>2.35</v>
      </c>
      <c r="L526" s="45">
        <f>148.2/1000*250</f>
        <v>37.049999999999997</v>
      </c>
      <c r="M526" s="45">
        <f>182.6/1000*250</f>
        <v>45.65</v>
      </c>
      <c r="N526" s="45">
        <f>81.2/1000*250</f>
        <v>20.3</v>
      </c>
      <c r="O526" s="45">
        <f>3.12/1000*250</f>
        <v>0.78</v>
      </c>
    </row>
    <row r="527" spans="1:15" ht="15.75" x14ac:dyDescent="0.25">
      <c r="A527" s="45"/>
      <c r="B527" s="45" t="s">
        <v>34</v>
      </c>
      <c r="C527" s="45">
        <v>2.5</v>
      </c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</row>
    <row r="528" spans="1:15" ht="15.75" x14ac:dyDescent="0.25">
      <c r="A528" s="45"/>
      <c r="B528" s="45" t="s">
        <v>36</v>
      </c>
      <c r="C528" s="45">
        <f>40.3/1000*250</f>
        <v>10.074999999999999</v>
      </c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</row>
    <row r="529" spans="1:15" ht="15.75" x14ac:dyDescent="0.25">
      <c r="A529" s="45"/>
      <c r="B529" s="45" t="s">
        <v>47</v>
      </c>
      <c r="C529" s="45">
        <v>2</v>
      </c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</row>
    <row r="530" spans="1:15" ht="15.75" x14ac:dyDescent="0.25">
      <c r="A530" s="45"/>
      <c r="B530" s="45" t="s">
        <v>37</v>
      </c>
      <c r="C530" s="45">
        <v>9.75</v>
      </c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</row>
    <row r="531" spans="1:15" ht="15.75" x14ac:dyDescent="0.25">
      <c r="A531" s="45"/>
      <c r="B531" s="45" t="s">
        <v>38</v>
      </c>
      <c r="C531" s="45">
        <f>140/1000*250</f>
        <v>35</v>
      </c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</row>
    <row r="532" spans="1:15" ht="15.75" x14ac:dyDescent="0.25">
      <c r="A532" s="45"/>
      <c r="B532" s="45" t="s">
        <v>77</v>
      </c>
      <c r="C532" s="45">
        <f>120/1000*250</f>
        <v>30</v>
      </c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</row>
    <row r="533" spans="1:15" ht="15.75" x14ac:dyDescent="0.25">
      <c r="A533" s="45"/>
      <c r="B533" s="45" t="s">
        <v>41</v>
      </c>
      <c r="C533" s="45">
        <v>5</v>
      </c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</row>
    <row r="534" spans="1:15" ht="15.75" x14ac:dyDescent="0.25">
      <c r="A534" s="45">
        <v>302</v>
      </c>
      <c r="B534" s="44" t="s">
        <v>336</v>
      </c>
      <c r="C534" s="45">
        <v>80</v>
      </c>
      <c r="D534" s="45">
        <f>9.3/75*80</f>
        <v>9.9200000000000017</v>
      </c>
      <c r="E534" s="45">
        <v>0.85</v>
      </c>
      <c r="F534" s="45">
        <f>2.4/75*80</f>
        <v>2.56</v>
      </c>
      <c r="G534" s="45">
        <f>54/75*80</f>
        <v>57.599999999999994</v>
      </c>
      <c r="H534" s="45">
        <v>0.04</v>
      </c>
      <c r="I534" s="45">
        <f>0.3/75*80</f>
        <v>0.32</v>
      </c>
      <c r="J534" s="45">
        <v>16.739999999999998</v>
      </c>
      <c r="K534" s="45">
        <f>0.6/75*80</f>
        <v>0.64</v>
      </c>
      <c r="L534" s="45">
        <f>33.9/75*80</f>
        <v>36.159999999999997</v>
      </c>
      <c r="M534" s="45">
        <v>124.69</v>
      </c>
      <c r="N534" s="45">
        <v>17.38</v>
      </c>
      <c r="O534" s="45">
        <v>0.35</v>
      </c>
    </row>
    <row r="535" spans="1:15" ht="15.75" x14ac:dyDescent="0.25">
      <c r="A535" s="45"/>
      <c r="B535" s="45" t="s">
        <v>283</v>
      </c>
      <c r="C535" s="45">
        <v>59.73</v>
      </c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</row>
    <row r="536" spans="1:15" ht="15.75" x14ac:dyDescent="0.25">
      <c r="A536" s="45"/>
      <c r="B536" s="45" t="s">
        <v>96</v>
      </c>
      <c r="C536" s="45">
        <v>2.4500000000000002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</row>
    <row r="537" spans="1:15" ht="15.75" x14ac:dyDescent="0.25">
      <c r="A537" s="45"/>
      <c r="B537" s="45" t="s">
        <v>47</v>
      </c>
      <c r="C537" s="45">
        <f>0.75/75*80</f>
        <v>0.8</v>
      </c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</row>
    <row r="538" spans="1:15" ht="15.75" x14ac:dyDescent="0.25">
      <c r="A538" s="45"/>
      <c r="B538" s="45" t="s">
        <v>25</v>
      </c>
      <c r="C538" s="45">
        <f>21/75*80</f>
        <v>22.400000000000002</v>
      </c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</row>
    <row r="539" spans="1:15" ht="15.75" x14ac:dyDescent="0.25">
      <c r="A539" s="45"/>
      <c r="B539" s="45" t="s">
        <v>107</v>
      </c>
      <c r="C539" s="45">
        <f>6.3/75*80</f>
        <v>6.7199999999999989</v>
      </c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</row>
    <row r="540" spans="1:15" ht="15.75" x14ac:dyDescent="0.25">
      <c r="A540" s="45">
        <v>377</v>
      </c>
      <c r="B540" s="44" t="s">
        <v>167</v>
      </c>
      <c r="C540" s="45">
        <v>150</v>
      </c>
      <c r="D540" s="45">
        <f>2.1/100*150</f>
        <v>3.1500000000000004</v>
      </c>
      <c r="E540" s="45">
        <f>4/100*150</f>
        <v>6</v>
      </c>
      <c r="F540" s="45">
        <f>6.1/100*150</f>
        <v>9.15</v>
      </c>
      <c r="G540" s="45">
        <f>68/100*150</f>
        <v>102.00000000000001</v>
      </c>
      <c r="H540" s="45">
        <f>0.08/100*150</f>
        <v>0.12000000000000001</v>
      </c>
      <c r="I540" s="45">
        <f>2.5/100*150</f>
        <v>3.75</v>
      </c>
      <c r="J540" s="45">
        <f>19.9/100*150</f>
        <v>29.849999999999998</v>
      </c>
      <c r="K540" s="45">
        <f>0.1/100*150</f>
        <v>0.15</v>
      </c>
      <c r="L540" s="45">
        <f>25.5/100*150</f>
        <v>38.25</v>
      </c>
      <c r="M540" s="45">
        <f>51.5/100*150</f>
        <v>77.25</v>
      </c>
      <c r="N540" s="45">
        <f>16.4/100*150</f>
        <v>24.599999999999998</v>
      </c>
      <c r="O540" s="45">
        <f>0.58/100*150</f>
        <v>0.86999999999999988</v>
      </c>
    </row>
    <row r="541" spans="1:15" ht="15.75" x14ac:dyDescent="0.25">
      <c r="A541" s="45"/>
      <c r="B541" s="45" t="s">
        <v>23</v>
      </c>
      <c r="C541" s="45">
        <f>4.5/100*150</f>
        <v>6.75</v>
      </c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</row>
    <row r="542" spans="1:15" ht="15.75" x14ac:dyDescent="0.25">
      <c r="A542" s="45"/>
      <c r="B542" s="45" t="s">
        <v>47</v>
      </c>
      <c r="C542" s="45">
        <f>0.4/100*150</f>
        <v>0.6</v>
      </c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</row>
    <row r="543" spans="1:15" ht="15.75" x14ac:dyDescent="0.25">
      <c r="A543" s="45"/>
      <c r="B543" s="45" t="s">
        <v>77</v>
      </c>
      <c r="C543" s="45">
        <f>84.3/100*150</f>
        <v>126.44999999999999</v>
      </c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</row>
    <row r="544" spans="1:15" ht="15.75" x14ac:dyDescent="0.25">
      <c r="A544" s="45"/>
      <c r="B544" s="45" t="s">
        <v>25</v>
      </c>
      <c r="C544" s="45">
        <f>15/100*150</f>
        <v>22.5</v>
      </c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</row>
    <row r="545" spans="1:15" ht="15.75" x14ac:dyDescent="0.25">
      <c r="A545" s="45">
        <v>486</v>
      </c>
      <c r="B545" s="44" t="s">
        <v>360</v>
      </c>
      <c r="C545" s="45">
        <v>200</v>
      </c>
      <c r="D545" s="45">
        <f>0.5*2</f>
        <v>1</v>
      </c>
      <c r="E545" s="45">
        <f>0.03*2</f>
        <v>0.06</v>
      </c>
      <c r="F545" s="45">
        <f>14.9*2</f>
        <v>29.8</v>
      </c>
      <c r="G545" s="45">
        <f>62*2</f>
        <v>124</v>
      </c>
      <c r="H545" s="45">
        <f>0.01*2</f>
        <v>0.02</v>
      </c>
      <c r="I545" s="45">
        <f>0.2*2</f>
        <v>0.4</v>
      </c>
      <c r="J545" s="45">
        <v>0</v>
      </c>
      <c r="K545" s="45">
        <f>0.6*2</f>
        <v>1.2</v>
      </c>
      <c r="L545" s="45">
        <f>17.5*2</f>
        <v>35</v>
      </c>
      <c r="M545" s="45">
        <f>16.8*2</f>
        <v>33.6</v>
      </c>
      <c r="N545" s="45">
        <v>20</v>
      </c>
      <c r="O545" s="45">
        <f>0.33*2</f>
        <v>0.66</v>
      </c>
    </row>
    <row r="546" spans="1:15" ht="15.75" x14ac:dyDescent="0.25">
      <c r="A546" s="45"/>
      <c r="B546" s="45" t="s">
        <v>361</v>
      </c>
      <c r="C546" s="45">
        <v>20</v>
      </c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</row>
    <row r="547" spans="1:15" ht="15.75" x14ac:dyDescent="0.25">
      <c r="A547" s="45"/>
      <c r="B547" s="45" t="s">
        <v>22</v>
      </c>
      <c r="C547" s="45">
        <v>10</v>
      </c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</row>
    <row r="548" spans="1:15" ht="15.75" x14ac:dyDescent="0.25">
      <c r="A548" s="45"/>
      <c r="B548" s="45" t="s">
        <v>42</v>
      </c>
      <c r="C548" s="45">
        <v>10</v>
      </c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</row>
    <row r="549" spans="1:15" ht="15.75" x14ac:dyDescent="0.25">
      <c r="A549" s="45"/>
      <c r="B549" s="44" t="s">
        <v>107</v>
      </c>
      <c r="C549" s="45">
        <v>40</v>
      </c>
      <c r="D549" s="45">
        <v>3.04</v>
      </c>
      <c r="E549" s="45">
        <v>0.32</v>
      </c>
      <c r="F549" s="45">
        <v>19.68</v>
      </c>
      <c r="G549" s="45">
        <v>94</v>
      </c>
      <c r="H549" s="45">
        <v>0.04</v>
      </c>
      <c r="I549" s="45">
        <v>0</v>
      </c>
      <c r="J549" s="45">
        <v>0</v>
      </c>
      <c r="K549" s="45">
        <v>0.44</v>
      </c>
      <c r="L549" s="45">
        <v>8</v>
      </c>
      <c r="M549" s="45">
        <v>26</v>
      </c>
      <c r="N549" s="45">
        <v>5.6</v>
      </c>
      <c r="O549" s="45">
        <v>0.44</v>
      </c>
    </row>
    <row r="550" spans="1:15" ht="15.75" x14ac:dyDescent="0.25">
      <c r="A550" s="45"/>
      <c r="B550" s="44" t="s">
        <v>73</v>
      </c>
      <c r="C550" s="45">
        <v>30</v>
      </c>
      <c r="D550" s="45">
        <v>2.64</v>
      </c>
      <c r="E550" s="45">
        <v>0.48</v>
      </c>
      <c r="F550" s="45">
        <v>13.36</v>
      </c>
      <c r="G550" s="45">
        <v>69.599999999999994</v>
      </c>
      <c r="H550" s="45">
        <v>7.0000000000000007E-2</v>
      </c>
      <c r="I550" s="45">
        <v>0</v>
      </c>
      <c r="J550" s="45">
        <v>0</v>
      </c>
      <c r="K550" s="45">
        <v>0.56000000000000005</v>
      </c>
      <c r="L550" s="45">
        <v>14</v>
      </c>
      <c r="M550" s="45">
        <v>63.2</v>
      </c>
      <c r="N550" s="45">
        <v>18.8</v>
      </c>
      <c r="O550" s="45">
        <v>1.56</v>
      </c>
    </row>
    <row r="551" spans="1:15" s="7" customFormat="1" ht="15.75" x14ac:dyDescent="0.25">
      <c r="A551" s="44"/>
      <c r="B551" s="44" t="s">
        <v>376</v>
      </c>
      <c r="C551" s="44"/>
      <c r="D551" s="44">
        <f t="shared" ref="D551:O551" si="26">D552+D554+D564+D568+D572+D581+D585+D586</f>
        <v>34.675000000000004</v>
      </c>
      <c r="E551" s="44">
        <f t="shared" si="26"/>
        <v>25.529999999999998</v>
      </c>
      <c r="F551" s="44">
        <f t="shared" si="26"/>
        <v>70.650000000000006</v>
      </c>
      <c r="G551" s="44">
        <f t="shared" si="26"/>
        <v>716</v>
      </c>
      <c r="H551" s="44">
        <f t="shared" si="26"/>
        <v>0.43704999999999999</v>
      </c>
      <c r="I551" s="44">
        <f t="shared" si="26"/>
        <v>34.655000000000001</v>
      </c>
      <c r="J551" s="44">
        <f t="shared" si="26"/>
        <v>27.990000000000002</v>
      </c>
      <c r="K551" s="44">
        <f t="shared" si="26"/>
        <v>5.0999999999999996</v>
      </c>
      <c r="L551" s="44">
        <f t="shared" si="26"/>
        <v>109.69</v>
      </c>
      <c r="M551" s="44">
        <f t="shared" si="26"/>
        <v>504.20500000000004</v>
      </c>
      <c r="N551" s="44">
        <f t="shared" si="26"/>
        <v>190.29499999999999</v>
      </c>
      <c r="O551" s="44">
        <f t="shared" si="26"/>
        <v>10.920000000000002</v>
      </c>
    </row>
    <row r="552" spans="1:15" ht="31.5" x14ac:dyDescent="0.25">
      <c r="A552" s="45">
        <v>148</v>
      </c>
      <c r="B552" s="44" t="s">
        <v>169</v>
      </c>
      <c r="C552" s="45">
        <v>60</v>
      </c>
      <c r="D552" s="45">
        <v>1.1000000000000001</v>
      </c>
      <c r="E552" s="45">
        <v>0.2</v>
      </c>
      <c r="F552" s="45">
        <v>3.8</v>
      </c>
      <c r="G552" s="45">
        <v>24</v>
      </c>
      <c r="H552" s="45">
        <v>0.06</v>
      </c>
      <c r="I552" s="45">
        <v>25</v>
      </c>
      <c r="J552" s="45">
        <v>0</v>
      </c>
      <c r="K552" s="45">
        <v>0.7</v>
      </c>
      <c r="L552" s="45">
        <v>14</v>
      </c>
      <c r="M552" s="45">
        <v>26</v>
      </c>
      <c r="N552" s="45">
        <v>20</v>
      </c>
      <c r="O552" s="45">
        <v>0.9</v>
      </c>
    </row>
    <row r="553" spans="1:15" ht="15.75" x14ac:dyDescent="0.25">
      <c r="A553" s="45"/>
      <c r="B553" s="45" t="s">
        <v>170</v>
      </c>
      <c r="C553" s="45">
        <v>60</v>
      </c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</row>
    <row r="554" spans="1:15" ht="15.75" x14ac:dyDescent="0.25">
      <c r="A554" s="45">
        <v>98</v>
      </c>
      <c r="B554" s="44" t="s">
        <v>171</v>
      </c>
      <c r="C554" s="45">
        <v>250</v>
      </c>
      <c r="D554" s="45">
        <f>8.2/1000*250</f>
        <v>2.0499999999999998</v>
      </c>
      <c r="E554" s="45">
        <f>19/1000*250</f>
        <v>4.75</v>
      </c>
      <c r="F554" s="45">
        <f>42.9/1000*250</f>
        <v>10.725</v>
      </c>
      <c r="G554" s="45">
        <f>375/1000*250</f>
        <v>93.75</v>
      </c>
      <c r="H554" s="45">
        <f>0.25/1000*250</f>
        <v>6.25E-2</v>
      </c>
      <c r="I554" s="45">
        <f>32.5/1000*250</f>
        <v>8.125</v>
      </c>
      <c r="J554" s="45">
        <v>0</v>
      </c>
      <c r="K554" s="45">
        <f>9.6/1000*250</f>
        <v>2.4</v>
      </c>
      <c r="L554" s="45">
        <f>163.6/1000*250</f>
        <v>40.9</v>
      </c>
      <c r="M554" s="45">
        <f>264.4/1000*250</f>
        <v>66.099999999999994</v>
      </c>
      <c r="N554" s="45">
        <f>120.1/1000*250</f>
        <v>30.024999999999999</v>
      </c>
      <c r="O554" s="45">
        <v>1.53</v>
      </c>
    </row>
    <row r="555" spans="1:15" ht="15.75" x14ac:dyDescent="0.25">
      <c r="A555" s="45"/>
      <c r="B555" s="45" t="s">
        <v>33</v>
      </c>
      <c r="C555" s="45">
        <f>256/1000*250</f>
        <v>64</v>
      </c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</row>
    <row r="556" spans="1:15" ht="15.75" x14ac:dyDescent="0.25">
      <c r="A556" s="45"/>
      <c r="B556" s="45" t="s">
        <v>34</v>
      </c>
      <c r="C556" s="45">
        <f>13/1000*250</f>
        <v>3.25</v>
      </c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</row>
    <row r="557" spans="1:15" ht="15.75" x14ac:dyDescent="0.25">
      <c r="A557" s="45"/>
      <c r="B557" s="45" t="s">
        <v>22</v>
      </c>
      <c r="C557" s="45">
        <f>10/1000*250</f>
        <v>2.5</v>
      </c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</row>
    <row r="558" spans="1:15" ht="15.75" x14ac:dyDescent="0.25">
      <c r="A558" s="45"/>
      <c r="B558" s="45" t="s">
        <v>41</v>
      </c>
      <c r="C558" s="45">
        <v>5</v>
      </c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</row>
    <row r="559" spans="1:15" ht="15.75" x14ac:dyDescent="0.25">
      <c r="A559" s="45"/>
      <c r="B559" s="45" t="s">
        <v>35</v>
      </c>
      <c r="C559" s="45">
        <v>15</v>
      </c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</row>
    <row r="560" spans="1:15" ht="15.75" x14ac:dyDescent="0.25">
      <c r="A560" s="45"/>
      <c r="B560" s="45" t="s">
        <v>36</v>
      </c>
      <c r="C560" s="45">
        <v>11.32</v>
      </c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</row>
    <row r="561" spans="1:15" ht="15.75" x14ac:dyDescent="0.25">
      <c r="A561" s="45"/>
      <c r="B561" s="45" t="s">
        <v>47</v>
      </c>
      <c r="C561" s="45">
        <v>2</v>
      </c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</row>
    <row r="562" spans="1:15" ht="15.75" x14ac:dyDescent="0.25">
      <c r="A562" s="45"/>
      <c r="B562" s="45" t="s">
        <v>37</v>
      </c>
      <c r="C562" s="45">
        <f>39/1000*250</f>
        <v>9.75</v>
      </c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</row>
    <row r="563" spans="1:15" ht="15.75" x14ac:dyDescent="0.25">
      <c r="A563" s="45"/>
      <c r="B563" s="45" t="s">
        <v>77</v>
      </c>
      <c r="C563" s="45">
        <v>43.12</v>
      </c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</row>
    <row r="564" spans="1:15" ht="15.75" x14ac:dyDescent="0.25">
      <c r="A564" s="45">
        <v>331</v>
      </c>
      <c r="B564" s="44" t="s">
        <v>172</v>
      </c>
      <c r="C564" s="45">
        <v>80</v>
      </c>
      <c r="D564" s="45">
        <v>19.420000000000002</v>
      </c>
      <c r="E564" s="45">
        <v>13.02</v>
      </c>
      <c r="F564" s="45">
        <v>0</v>
      </c>
      <c r="G564" s="45">
        <v>195.4</v>
      </c>
      <c r="H564" s="45">
        <v>0.05</v>
      </c>
      <c r="I564" s="45">
        <v>0</v>
      </c>
      <c r="J564" s="45">
        <v>0</v>
      </c>
      <c r="K564" s="45">
        <v>0.45</v>
      </c>
      <c r="L564" s="45">
        <v>10.199999999999999</v>
      </c>
      <c r="M564" s="45">
        <v>175.08</v>
      </c>
      <c r="N564" s="45">
        <v>20.3</v>
      </c>
      <c r="O564" s="45">
        <v>2.74</v>
      </c>
    </row>
    <row r="565" spans="1:15" ht="15.75" x14ac:dyDescent="0.25">
      <c r="A565" s="45"/>
      <c r="B565" s="45" t="s">
        <v>41</v>
      </c>
      <c r="C565" s="45">
        <v>2.2799999999999998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</row>
    <row r="566" spans="1:15" ht="15.75" x14ac:dyDescent="0.25">
      <c r="A566" s="45"/>
      <c r="B566" s="45" t="s">
        <v>133</v>
      </c>
      <c r="C566" s="45">
        <v>115.4</v>
      </c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</row>
    <row r="567" spans="1:15" ht="15.75" x14ac:dyDescent="0.25">
      <c r="A567" s="45"/>
      <c r="B567" s="45" t="s">
        <v>47</v>
      </c>
      <c r="C567" s="45">
        <v>0.45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</row>
    <row r="568" spans="1:15" ht="15.75" x14ac:dyDescent="0.25">
      <c r="A568" s="45">
        <v>202</v>
      </c>
      <c r="B568" s="44" t="s">
        <v>48</v>
      </c>
      <c r="C568" s="45">
        <v>150</v>
      </c>
      <c r="D568" s="45">
        <f>37.5/1000*150</f>
        <v>5.625</v>
      </c>
      <c r="E568" s="45">
        <f>38.4/1000*150</f>
        <v>5.76</v>
      </c>
      <c r="F568" s="45">
        <f>65.5/1000*150</f>
        <v>9.8250000000000011</v>
      </c>
      <c r="G568" s="45">
        <f>1157/1000*150</f>
        <v>173.55</v>
      </c>
      <c r="H568" s="45">
        <f>0.91/1000*150</f>
        <v>0.13650000000000001</v>
      </c>
      <c r="I568" s="45">
        <v>0</v>
      </c>
      <c r="J568" s="45">
        <f>160/1000*150</f>
        <v>24</v>
      </c>
      <c r="K568" s="45">
        <f>2.8/1000*150</f>
        <v>0.42</v>
      </c>
      <c r="L568" s="45">
        <f>94.1/1000*150</f>
        <v>14.114999999999998</v>
      </c>
      <c r="M568" s="45">
        <f>895.3/1000*150</f>
        <v>134.29499999999999</v>
      </c>
      <c r="N568" s="45">
        <f>591.4/1000*150</f>
        <v>88.71</v>
      </c>
      <c r="O568" s="45">
        <f>20.4/1000*150</f>
        <v>3.0599999999999996</v>
      </c>
    </row>
    <row r="569" spans="1:15" ht="15.75" x14ac:dyDescent="0.25">
      <c r="A569" s="45"/>
      <c r="B569" s="45" t="s">
        <v>23</v>
      </c>
      <c r="C569" s="45">
        <f>40/1000*150</f>
        <v>6</v>
      </c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</row>
    <row r="570" spans="1:15" ht="15.75" x14ac:dyDescent="0.25">
      <c r="A570" s="45"/>
      <c r="B570" s="45" t="s">
        <v>47</v>
      </c>
      <c r="C570" s="45">
        <f>7/1000*150</f>
        <v>1.05</v>
      </c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</row>
    <row r="571" spans="1:15" ht="15.75" x14ac:dyDescent="0.25">
      <c r="A571" s="45"/>
      <c r="B571" s="45" t="s">
        <v>49</v>
      </c>
      <c r="C571" s="45">
        <f>300/1000*150</f>
        <v>45</v>
      </c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</row>
    <row r="572" spans="1:15" ht="15.75" x14ac:dyDescent="0.25">
      <c r="A572" s="45">
        <v>422</v>
      </c>
      <c r="B572" s="44" t="s">
        <v>173</v>
      </c>
      <c r="C572" s="45">
        <v>35</v>
      </c>
      <c r="D572" s="45">
        <f>20/1000*35</f>
        <v>0.70000000000000007</v>
      </c>
      <c r="E572" s="45">
        <v>0.9</v>
      </c>
      <c r="F572" s="45">
        <v>2.16</v>
      </c>
      <c r="G572" s="45">
        <v>19.7</v>
      </c>
      <c r="H572" s="45">
        <f>0.23/1000*35</f>
        <v>8.0499999999999999E-3</v>
      </c>
      <c r="I572" s="45">
        <v>0.93</v>
      </c>
      <c r="J572" s="45">
        <f>114/1000*35</f>
        <v>3.99</v>
      </c>
      <c r="K572" s="45">
        <v>0.09</v>
      </c>
      <c r="L572" s="45">
        <f>145/1000*35</f>
        <v>5.0749999999999993</v>
      </c>
      <c r="M572" s="45">
        <v>11.43</v>
      </c>
      <c r="N572" s="45">
        <v>5.16</v>
      </c>
      <c r="O572" s="45">
        <v>0.23</v>
      </c>
    </row>
    <row r="573" spans="1:15" ht="15.75" x14ac:dyDescent="0.25">
      <c r="A573" s="45"/>
      <c r="B573" s="45" t="s">
        <v>34</v>
      </c>
      <c r="C573" s="45">
        <f>200/1000*35</f>
        <v>7</v>
      </c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</row>
    <row r="574" spans="1:15" ht="15.75" x14ac:dyDescent="0.25">
      <c r="A574" s="45"/>
      <c r="B574" s="45" t="s">
        <v>22</v>
      </c>
      <c r="C574" s="45">
        <v>0.87</v>
      </c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</row>
    <row r="575" spans="1:15" ht="15.75" x14ac:dyDescent="0.25">
      <c r="A575" s="45"/>
      <c r="B575" s="45" t="s">
        <v>23</v>
      </c>
      <c r="C575" s="45">
        <f>30/1000*35</f>
        <v>1.05</v>
      </c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</row>
    <row r="576" spans="1:15" ht="15.75" x14ac:dyDescent="0.25">
      <c r="A576" s="45"/>
      <c r="B576" s="45" t="s">
        <v>46</v>
      </c>
      <c r="C576" s="45">
        <f>50/1000*35</f>
        <v>1.75</v>
      </c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</row>
    <row r="577" spans="1:15" ht="15.75" x14ac:dyDescent="0.25">
      <c r="A577" s="45"/>
      <c r="B577" s="45" t="s">
        <v>47</v>
      </c>
      <c r="C577" s="45">
        <f>10/1000*35</f>
        <v>0.35000000000000003</v>
      </c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</row>
    <row r="578" spans="1:15" ht="15.75" x14ac:dyDescent="0.25">
      <c r="A578" s="45"/>
      <c r="B578" s="45" t="s">
        <v>36</v>
      </c>
      <c r="C578" s="45">
        <v>1.41</v>
      </c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</row>
    <row r="579" spans="1:15" ht="15.75" x14ac:dyDescent="0.25">
      <c r="A579" s="45"/>
      <c r="B579" s="45" t="s">
        <v>37</v>
      </c>
      <c r="C579" s="45">
        <f>78/1000*35</f>
        <v>2.73</v>
      </c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</row>
    <row r="580" spans="1:15" ht="15.75" x14ac:dyDescent="0.25">
      <c r="A580" s="45"/>
      <c r="B580" s="45" t="s">
        <v>174</v>
      </c>
      <c r="C580" s="45">
        <v>0.7</v>
      </c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</row>
    <row r="581" spans="1:15" ht="31.5" x14ac:dyDescent="0.25">
      <c r="A581" s="45">
        <v>486</v>
      </c>
      <c r="B581" s="44" t="s">
        <v>150</v>
      </c>
      <c r="C581" s="45">
        <v>200</v>
      </c>
      <c r="D581" s="45">
        <v>0.1</v>
      </c>
      <c r="E581" s="45">
        <v>0.1</v>
      </c>
      <c r="F581" s="45">
        <v>11.1</v>
      </c>
      <c r="G581" s="45">
        <v>46</v>
      </c>
      <c r="H581" s="45">
        <v>0.01</v>
      </c>
      <c r="I581" s="45">
        <v>0.6</v>
      </c>
      <c r="J581" s="45">
        <v>0</v>
      </c>
      <c r="K581" s="45">
        <v>0.04</v>
      </c>
      <c r="L581" s="45">
        <v>3.4</v>
      </c>
      <c r="M581" s="45">
        <v>2.1</v>
      </c>
      <c r="N581" s="45">
        <v>1.7</v>
      </c>
      <c r="O581" s="45">
        <v>0.46</v>
      </c>
    </row>
    <row r="582" spans="1:15" ht="15.75" x14ac:dyDescent="0.25">
      <c r="A582" s="45"/>
      <c r="B582" s="45" t="s">
        <v>62</v>
      </c>
      <c r="C582" s="45">
        <v>20</v>
      </c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</row>
    <row r="583" spans="1:15" ht="15.75" x14ac:dyDescent="0.25">
      <c r="A583" s="45"/>
      <c r="B583" s="45" t="s">
        <v>22</v>
      </c>
      <c r="C583" s="45">
        <v>10</v>
      </c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</row>
    <row r="584" spans="1:15" ht="15.75" x14ac:dyDescent="0.25">
      <c r="A584" s="45"/>
      <c r="B584" s="45" t="s">
        <v>42</v>
      </c>
      <c r="C584" s="45">
        <v>10</v>
      </c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</row>
    <row r="585" spans="1:15" ht="15.75" x14ac:dyDescent="0.25">
      <c r="A585" s="45"/>
      <c r="B585" s="44" t="s">
        <v>107</v>
      </c>
      <c r="C585" s="45">
        <v>40</v>
      </c>
      <c r="D585" s="45">
        <v>3.04</v>
      </c>
      <c r="E585" s="45">
        <v>0.32</v>
      </c>
      <c r="F585" s="45">
        <v>19.68</v>
      </c>
      <c r="G585" s="45">
        <v>94</v>
      </c>
      <c r="H585" s="45">
        <v>0.04</v>
      </c>
      <c r="I585" s="45">
        <v>0</v>
      </c>
      <c r="J585" s="45">
        <v>0</v>
      </c>
      <c r="K585" s="45">
        <v>0.44</v>
      </c>
      <c r="L585" s="45">
        <v>8</v>
      </c>
      <c r="M585" s="45">
        <v>26</v>
      </c>
      <c r="N585" s="45">
        <v>5.6</v>
      </c>
      <c r="O585" s="45">
        <v>0.44</v>
      </c>
    </row>
    <row r="586" spans="1:15" ht="15.75" x14ac:dyDescent="0.25">
      <c r="A586" s="45"/>
      <c r="B586" s="44" t="s">
        <v>73</v>
      </c>
      <c r="C586" s="45">
        <v>30</v>
      </c>
      <c r="D586" s="45">
        <v>2.64</v>
      </c>
      <c r="E586" s="45">
        <v>0.48</v>
      </c>
      <c r="F586" s="45">
        <v>13.36</v>
      </c>
      <c r="G586" s="45">
        <v>69.599999999999994</v>
      </c>
      <c r="H586" s="45">
        <v>7.0000000000000007E-2</v>
      </c>
      <c r="I586" s="45">
        <v>0</v>
      </c>
      <c r="J586" s="45">
        <v>0</v>
      </c>
      <c r="K586" s="45">
        <v>0.56000000000000005</v>
      </c>
      <c r="L586" s="45">
        <v>14</v>
      </c>
      <c r="M586" s="45">
        <v>63.2</v>
      </c>
      <c r="N586" s="45">
        <v>18.8</v>
      </c>
      <c r="O586" s="45">
        <v>1.56</v>
      </c>
    </row>
    <row r="587" spans="1:15" s="7" customFormat="1" ht="15.75" x14ac:dyDescent="0.25">
      <c r="A587" s="44"/>
      <c r="B587" s="44" t="s">
        <v>377</v>
      </c>
      <c r="C587" s="44"/>
      <c r="D587" s="44">
        <f>D588+D589</f>
        <v>5.8</v>
      </c>
      <c r="E587" s="44">
        <f t="shared" ref="E587:O587" si="27">E588+E589</f>
        <v>5</v>
      </c>
      <c r="F587" s="44">
        <f t="shared" si="27"/>
        <v>9.6</v>
      </c>
      <c r="G587" s="44">
        <f t="shared" si="27"/>
        <v>106</v>
      </c>
      <c r="H587" s="44">
        <f t="shared" si="27"/>
        <v>0.08</v>
      </c>
      <c r="I587" s="44">
        <f t="shared" si="27"/>
        <v>2.6</v>
      </c>
      <c r="J587" s="44">
        <f t="shared" si="27"/>
        <v>0.04</v>
      </c>
      <c r="K587" s="44">
        <f t="shared" si="27"/>
        <v>0</v>
      </c>
      <c r="L587" s="44">
        <f t="shared" si="27"/>
        <v>240</v>
      </c>
      <c r="M587" s="44">
        <f t="shared" si="27"/>
        <v>180</v>
      </c>
      <c r="N587" s="44">
        <f t="shared" si="27"/>
        <v>28</v>
      </c>
      <c r="O587" s="44">
        <f t="shared" si="27"/>
        <v>0.2</v>
      </c>
    </row>
    <row r="588" spans="1:15" ht="15.75" x14ac:dyDescent="0.25">
      <c r="A588" s="45"/>
      <c r="B588" s="44" t="s">
        <v>287</v>
      </c>
      <c r="C588" s="45">
        <v>45</v>
      </c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</row>
    <row r="589" spans="1:15" ht="15.75" x14ac:dyDescent="0.25">
      <c r="A589" s="45">
        <v>515</v>
      </c>
      <c r="B589" s="44" t="s">
        <v>175</v>
      </c>
      <c r="C589" s="45">
        <v>200</v>
      </c>
      <c r="D589" s="45">
        <v>5.8</v>
      </c>
      <c r="E589" s="45">
        <v>5</v>
      </c>
      <c r="F589" s="45">
        <v>9.6</v>
      </c>
      <c r="G589" s="45">
        <v>106</v>
      </c>
      <c r="H589" s="45">
        <v>0.08</v>
      </c>
      <c r="I589" s="45">
        <v>2.6</v>
      </c>
      <c r="J589" s="45">
        <v>0.04</v>
      </c>
      <c r="K589" s="45">
        <v>0</v>
      </c>
      <c r="L589" s="45">
        <v>240</v>
      </c>
      <c r="M589" s="45">
        <v>180</v>
      </c>
      <c r="N589" s="45">
        <v>28</v>
      </c>
      <c r="O589" s="45">
        <v>0.2</v>
      </c>
    </row>
    <row r="590" spans="1:15" s="7" customFormat="1" ht="15.75" x14ac:dyDescent="0.25">
      <c r="A590" s="44"/>
      <c r="B590" s="44" t="s">
        <v>66</v>
      </c>
      <c r="C590" s="44"/>
      <c r="D590" s="44">
        <f t="shared" ref="D590:O590" si="28">D496+D521+D551+D587</f>
        <v>90.434999999999988</v>
      </c>
      <c r="E590" s="44">
        <f t="shared" si="28"/>
        <v>72.460000000000008</v>
      </c>
      <c r="F590" s="44">
        <f t="shared" si="28"/>
        <v>242.4</v>
      </c>
      <c r="G590" s="44">
        <f t="shared" si="28"/>
        <v>2049.2799999999997</v>
      </c>
      <c r="H590" s="44">
        <f t="shared" si="28"/>
        <v>1.0970500000000001</v>
      </c>
      <c r="I590" s="44">
        <f t="shared" si="28"/>
        <v>56.615000000000002</v>
      </c>
      <c r="J590" s="44">
        <f t="shared" si="28"/>
        <v>250.61940766550524</v>
      </c>
      <c r="K590" s="44">
        <f t="shared" si="28"/>
        <v>15.219999999999999</v>
      </c>
      <c r="L590" s="44">
        <f t="shared" si="28"/>
        <v>697.19</v>
      </c>
      <c r="M590" s="44">
        <f t="shared" si="28"/>
        <v>1400.5949999999998</v>
      </c>
      <c r="N590" s="44">
        <f t="shared" si="28"/>
        <v>402.77499999999998</v>
      </c>
      <c r="O590" s="44">
        <f t="shared" si="28"/>
        <v>21.374000000000002</v>
      </c>
    </row>
    <row r="591" spans="1:15" ht="15.75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</row>
    <row r="592" spans="1:15" ht="18" x14ac:dyDescent="0.25">
      <c r="A592" s="1" t="s">
        <v>176</v>
      </c>
    </row>
    <row r="594" spans="1:15" ht="15.75" x14ac:dyDescent="0.25">
      <c r="A594" s="2" t="s">
        <v>19</v>
      </c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</row>
    <row r="595" spans="1:15" ht="15" x14ac:dyDescent="0.2">
      <c r="A595" s="62" t="s">
        <v>17</v>
      </c>
      <c r="B595" s="61" t="s">
        <v>0</v>
      </c>
      <c r="C595" s="61" t="s">
        <v>1</v>
      </c>
      <c r="D595" s="63" t="s">
        <v>9</v>
      </c>
      <c r="E595" s="64"/>
      <c r="F595" s="65"/>
      <c r="G595" s="61" t="s">
        <v>10</v>
      </c>
      <c r="H595" s="61" t="s">
        <v>7</v>
      </c>
      <c r="I595" s="61"/>
      <c r="J595" s="61"/>
      <c r="K595" s="61"/>
      <c r="L595" s="61" t="s">
        <v>8</v>
      </c>
      <c r="M595" s="61"/>
      <c r="N595" s="61"/>
      <c r="O595" s="61"/>
    </row>
    <row r="596" spans="1:15" ht="30" x14ac:dyDescent="0.2">
      <c r="A596" s="62"/>
      <c r="B596" s="61"/>
      <c r="C596" s="61"/>
      <c r="D596" s="41" t="s">
        <v>2</v>
      </c>
      <c r="E596" s="42" t="s">
        <v>3</v>
      </c>
      <c r="F596" s="42" t="s">
        <v>4</v>
      </c>
      <c r="G596" s="61"/>
      <c r="H596" s="42" t="s">
        <v>11</v>
      </c>
      <c r="I596" s="42" t="s">
        <v>12</v>
      </c>
      <c r="J596" s="42" t="s">
        <v>13</v>
      </c>
      <c r="K596" s="42" t="s">
        <v>5</v>
      </c>
      <c r="L596" s="43" t="s">
        <v>14</v>
      </c>
      <c r="M596" s="42" t="s">
        <v>15</v>
      </c>
      <c r="N596" s="42" t="s">
        <v>6</v>
      </c>
      <c r="O596" s="42" t="s">
        <v>16</v>
      </c>
    </row>
    <row r="597" spans="1:15" ht="15.75" x14ac:dyDescent="0.25">
      <c r="A597" s="44"/>
      <c r="B597" s="44" t="s">
        <v>344</v>
      </c>
      <c r="C597" s="44"/>
      <c r="D597" s="44">
        <f>D598+D601+D607+D611+D612+D613</f>
        <v>18.579999999999998</v>
      </c>
      <c r="E597" s="44">
        <f t="shared" ref="E597:O597" si="29">E598+E607+E601+E611+E612+E613</f>
        <v>16.259999999999998</v>
      </c>
      <c r="F597" s="44">
        <f t="shared" si="29"/>
        <v>85.08</v>
      </c>
      <c r="G597" s="44">
        <f t="shared" si="29"/>
        <v>562.4</v>
      </c>
      <c r="H597" s="44">
        <f t="shared" si="29"/>
        <v>0.33599999999999997</v>
      </c>
      <c r="I597" s="44">
        <f t="shared" si="29"/>
        <v>1.8800000000000001</v>
      </c>
      <c r="J597" s="44">
        <f t="shared" si="29"/>
        <v>56</v>
      </c>
      <c r="K597" s="44">
        <f t="shared" si="29"/>
        <v>1.45</v>
      </c>
      <c r="L597" s="44">
        <f t="shared" si="29"/>
        <v>258.54000000000002</v>
      </c>
      <c r="M597" s="44">
        <f t="shared" si="29"/>
        <v>361.82</v>
      </c>
      <c r="N597" s="44">
        <f t="shared" si="29"/>
        <v>80.2</v>
      </c>
      <c r="O597" s="44">
        <f t="shared" si="29"/>
        <v>3.726</v>
      </c>
    </row>
    <row r="598" spans="1:15" ht="15.75" x14ac:dyDescent="0.25">
      <c r="A598" s="45">
        <v>58</v>
      </c>
      <c r="B598" s="44" t="s">
        <v>343</v>
      </c>
      <c r="C598" s="45">
        <v>35</v>
      </c>
      <c r="D598" s="45">
        <v>4.0999999999999996</v>
      </c>
      <c r="E598" s="45">
        <v>6.1</v>
      </c>
      <c r="F598" s="45">
        <v>9.9</v>
      </c>
      <c r="G598" s="45">
        <v>111</v>
      </c>
      <c r="H598" s="45">
        <v>0.05</v>
      </c>
      <c r="I598" s="45">
        <v>0</v>
      </c>
      <c r="J598" s="45">
        <v>0</v>
      </c>
      <c r="K598" s="45">
        <v>0.31</v>
      </c>
      <c r="L598" s="45">
        <v>8.5</v>
      </c>
      <c r="M598" s="45">
        <v>45.4</v>
      </c>
      <c r="N598" s="45">
        <v>6.1</v>
      </c>
      <c r="O598" s="45">
        <v>0.67</v>
      </c>
    </row>
    <row r="599" spans="1:15" ht="15.75" x14ac:dyDescent="0.25">
      <c r="A599" s="45"/>
      <c r="B599" s="45" t="s">
        <v>289</v>
      </c>
      <c r="C599" s="45">
        <v>15</v>
      </c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</row>
    <row r="600" spans="1:15" ht="15.75" x14ac:dyDescent="0.25">
      <c r="A600" s="45"/>
      <c r="B600" s="45" t="s">
        <v>107</v>
      </c>
      <c r="C600" s="45">
        <v>20</v>
      </c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</row>
    <row r="601" spans="1:15" ht="31.5" x14ac:dyDescent="0.25">
      <c r="A601" s="45">
        <v>233</v>
      </c>
      <c r="B601" s="44" t="s">
        <v>178</v>
      </c>
      <c r="C601" s="45">
        <v>200</v>
      </c>
      <c r="D601" s="45">
        <f>30/1000*200</f>
        <v>6</v>
      </c>
      <c r="E601" s="45">
        <f>34.3/1000*200</f>
        <v>6.8599999999999994</v>
      </c>
      <c r="F601" s="45">
        <f>142.7/1000*200</f>
        <v>28.54</v>
      </c>
      <c r="G601" s="45">
        <f>999/1000*200</f>
        <v>199.8</v>
      </c>
      <c r="H601" s="45">
        <f>0.73/1000*200</f>
        <v>0.14599999999999999</v>
      </c>
      <c r="I601" s="45">
        <f>5.9/1000*200</f>
        <v>1.1800000000000002</v>
      </c>
      <c r="J601" s="45">
        <f>185/1000*200</f>
        <v>37</v>
      </c>
      <c r="K601" s="45">
        <f>0.7/1000*200</f>
        <v>0.13999999999999999</v>
      </c>
      <c r="L601" s="45">
        <f>598.7/1000*200</f>
        <v>119.74000000000001</v>
      </c>
      <c r="M601" s="45">
        <f>753.6/1000*200</f>
        <v>150.72</v>
      </c>
      <c r="N601" s="45">
        <f>185.5/1000*200</f>
        <v>37.1</v>
      </c>
      <c r="O601" s="45">
        <f>4.68/1000*200</f>
        <v>0.93600000000000005</v>
      </c>
    </row>
    <row r="602" spans="1:15" ht="15.75" x14ac:dyDescent="0.25">
      <c r="A602" s="45"/>
      <c r="B602" s="45" t="s">
        <v>177</v>
      </c>
      <c r="C602" s="45">
        <v>2.7</v>
      </c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</row>
    <row r="603" spans="1:15" ht="15.75" x14ac:dyDescent="0.25">
      <c r="A603" s="45"/>
      <c r="B603" s="45" t="s">
        <v>22</v>
      </c>
      <c r="C603" s="45">
        <f>25/1000*200</f>
        <v>5</v>
      </c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</row>
    <row r="604" spans="1:15" ht="15.75" x14ac:dyDescent="0.25">
      <c r="A604" s="45"/>
      <c r="B604" s="45" t="s">
        <v>23</v>
      </c>
      <c r="C604" s="45">
        <v>5</v>
      </c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</row>
    <row r="605" spans="1:15" ht="15.75" x14ac:dyDescent="0.25">
      <c r="A605" s="45"/>
      <c r="B605" s="45" t="s">
        <v>153</v>
      </c>
      <c r="C605" s="45">
        <f>148.5/1000*200</f>
        <v>29.7</v>
      </c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</row>
    <row r="606" spans="1:15" ht="15.75" x14ac:dyDescent="0.25">
      <c r="A606" s="45"/>
      <c r="B606" s="45" t="s">
        <v>25</v>
      </c>
      <c r="C606" s="45">
        <f>450/1000*200</f>
        <v>90</v>
      </c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</row>
    <row r="607" spans="1:15" ht="15.75" x14ac:dyDescent="0.25">
      <c r="A607" s="45">
        <v>465</v>
      </c>
      <c r="B607" s="44" t="s">
        <v>28</v>
      </c>
      <c r="C607" s="45">
        <v>200</v>
      </c>
      <c r="D607" s="45">
        <v>2.8</v>
      </c>
      <c r="E607" s="45">
        <v>2.5</v>
      </c>
      <c r="F607" s="45">
        <v>13.6</v>
      </c>
      <c r="G607" s="45">
        <v>88</v>
      </c>
      <c r="H607" s="45">
        <v>0.03</v>
      </c>
      <c r="I607" s="45">
        <v>0.7</v>
      </c>
      <c r="J607" s="45">
        <v>19</v>
      </c>
      <c r="K607" s="45">
        <v>0</v>
      </c>
      <c r="L607" s="45">
        <v>108.3</v>
      </c>
      <c r="M607" s="45">
        <v>76.5</v>
      </c>
      <c r="N607" s="45">
        <v>12.6</v>
      </c>
      <c r="O607" s="45">
        <v>0.12</v>
      </c>
    </row>
    <row r="608" spans="1:15" ht="15.75" x14ac:dyDescent="0.25">
      <c r="A608" s="45"/>
      <c r="B608" s="45" t="s">
        <v>22</v>
      </c>
      <c r="C608" s="45">
        <v>10</v>
      </c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</row>
    <row r="609" spans="1:15" ht="15.75" x14ac:dyDescent="0.25">
      <c r="A609" s="45"/>
      <c r="B609" s="45" t="s">
        <v>120</v>
      </c>
      <c r="C609" s="45">
        <v>2.4</v>
      </c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</row>
    <row r="610" spans="1:15" ht="15.75" x14ac:dyDescent="0.25">
      <c r="A610" s="45"/>
      <c r="B610" s="45" t="s">
        <v>25</v>
      </c>
      <c r="C610" s="45">
        <v>100</v>
      </c>
      <c r="D610" s="45"/>
      <c r="E610" s="45"/>
      <c r="F610" s="45"/>
      <c r="G610" s="45"/>
      <c r="H610" s="45"/>
      <c r="I610" s="47"/>
      <c r="J610" s="45"/>
      <c r="K610" s="45"/>
      <c r="L610" s="45"/>
      <c r="M610" s="45"/>
      <c r="N610" s="45"/>
      <c r="O610" s="45"/>
    </row>
    <row r="611" spans="1:15" ht="15.75" x14ac:dyDescent="0.25">
      <c r="A611" s="45"/>
      <c r="B611" s="44" t="s">
        <v>74</v>
      </c>
      <c r="C611" s="45">
        <v>150</v>
      </c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</row>
    <row r="612" spans="1:15" ht="15.75" x14ac:dyDescent="0.25">
      <c r="A612" s="45"/>
      <c r="B612" s="44" t="s">
        <v>107</v>
      </c>
      <c r="C612" s="45">
        <v>40</v>
      </c>
      <c r="D612" s="45">
        <v>3.04</v>
      </c>
      <c r="E612" s="45">
        <v>0.32</v>
      </c>
      <c r="F612" s="45">
        <v>19.68</v>
      </c>
      <c r="G612" s="45">
        <v>94</v>
      </c>
      <c r="H612" s="45">
        <v>0.04</v>
      </c>
      <c r="I612" s="45">
        <v>0</v>
      </c>
      <c r="J612" s="45">
        <v>0</v>
      </c>
      <c r="K612" s="45">
        <v>0.44</v>
      </c>
      <c r="L612" s="45">
        <v>8</v>
      </c>
      <c r="M612" s="45">
        <v>26</v>
      </c>
      <c r="N612" s="45">
        <v>5.6</v>
      </c>
      <c r="O612" s="45">
        <v>0.44</v>
      </c>
    </row>
    <row r="613" spans="1:15" ht="15.75" x14ac:dyDescent="0.25">
      <c r="A613" s="45"/>
      <c r="B613" s="44" t="s">
        <v>73</v>
      </c>
      <c r="C613" s="45">
        <v>30</v>
      </c>
      <c r="D613" s="45">
        <v>2.64</v>
      </c>
      <c r="E613" s="45">
        <v>0.48</v>
      </c>
      <c r="F613" s="45">
        <v>13.36</v>
      </c>
      <c r="G613" s="45">
        <v>69.599999999999994</v>
      </c>
      <c r="H613" s="45">
        <v>7.0000000000000007E-2</v>
      </c>
      <c r="I613" s="45">
        <v>0</v>
      </c>
      <c r="J613" s="45">
        <v>0</v>
      </c>
      <c r="K613" s="45">
        <v>0.56000000000000005</v>
      </c>
      <c r="L613" s="45">
        <v>14</v>
      </c>
      <c r="M613" s="45">
        <v>63.2</v>
      </c>
      <c r="N613" s="45">
        <v>18.8</v>
      </c>
      <c r="O613" s="45">
        <v>1.56</v>
      </c>
    </row>
    <row r="614" spans="1:15" s="7" customFormat="1" ht="15.75" x14ac:dyDescent="0.25">
      <c r="A614" s="44"/>
      <c r="B614" s="44" t="s">
        <v>373</v>
      </c>
      <c r="C614" s="44"/>
      <c r="D614" s="44">
        <f t="shared" ref="D614:O614" si="30">D615+D619+D628+D634+D637+D638</f>
        <v>32.119999999999997</v>
      </c>
      <c r="E614" s="44">
        <f t="shared" si="30"/>
        <v>34.229999999999997</v>
      </c>
      <c r="F614" s="44">
        <f t="shared" si="30"/>
        <v>84.61</v>
      </c>
      <c r="G614" s="44">
        <f t="shared" si="30"/>
        <v>777.1</v>
      </c>
      <c r="H614" s="44">
        <f t="shared" si="30"/>
        <v>0.33</v>
      </c>
      <c r="I614" s="44">
        <f t="shared" si="30"/>
        <v>16.880000000000003</v>
      </c>
      <c r="J614" s="44">
        <f t="shared" si="30"/>
        <v>0</v>
      </c>
      <c r="K614" s="44">
        <f t="shared" si="30"/>
        <v>9.67</v>
      </c>
      <c r="L614" s="44">
        <f t="shared" si="30"/>
        <v>107.06</v>
      </c>
      <c r="M614" s="44">
        <f t="shared" si="30"/>
        <v>466.88</v>
      </c>
      <c r="N614" s="44">
        <f t="shared" si="30"/>
        <v>114.64999999999999</v>
      </c>
      <c r="O614" s="44">
        <f t="shared" si="30"/>
        <v>8.5</v>
      </c>
    </row>
    <row r="615" spans="1:15" ht="15.75" x14ac:dyDescent="0.25">
      <c r="A615" s="45">
        <v>22</v>
      </c>
      <c r="B615" s="44" t="s">
        <v>179</v>
      </c>
      <c r="C615" s="45">
        <v>60</v>
      </c>
      <c r="D615" s="45">
        <f>1/100*60</f>
        <v>0.6</v>
      </c>
      <c r="E615" s="45">
        <f>6.2/100*60</f>
        <v>3.7199999999999998</v>
      </c>
      <c r="F615" s="45">
        <f>8.2/100*60</f>
        <v>4.919999999999999</v>
      </c>
      <c r="G615" s="45">
        <f>93/100*60</f>
        <v>55.800000000000004</v>
      </c>
      <c r="H615" s="45">
        <f>0.05/100*60</f>
        <v>0.03</v>
      </c>
      <c r="I615" s="45">
        <f>4.6/100*60</f>
        <v>2.76</v>
      </c>
      <c r="J615" s="45">
        <v>0</v>
      </c>
      <c r="K615" s="45">
        <f>3.8/100*60</f>
        <v>2.2799999999999998</v>
      </c>
      <c r="L615" s="45">
        <f>23.3/100*60</f>
        <v>13.98</v>
      </c>
      <c r="M615" s="45">
        <f>38.8/100*60</f>
        <v>23.279999999999998</v>
      </c>
      <c r="N615" s="45">
        <f>27.3/100*60</f>
        <v>16.380000000000003</v>
      </c>
      <c r="O615" s="45">
        <v>0.78</v>
      </c>
    </row>
    <row r="616" spans="1:15" ht="15.75" x14ac:dyDescent="0.25">
      <c r="A616" s="45"/>
      <c r="B616" s="45" t="s">
        <v>62</v>
      </c>
      <c r="C616" s="45">
        <f>39.6/100*60</f>
        <v>23.76</v>
      </c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</row>
    <row r="617" spans="1:15" ht="15.75" x14ac:dyDescent="0.25">
      <c r="A617" s="45"/>
      <c r="B617" s="45" t="s">
        <v>37</v>
      </c>
      <c r="C617" s="45">
        <f>62.4/100*60</f>
        <v>37.44</v>
      </c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</row>
    <row r="618" spans="1:15" ht="15.75" x14ac:dyDescent="0.25">
      <c r="A618" s="45"/>
      <c r="B618" s="45" t="s">
        <v>41</v>
      </c>
      <c r="C618" s="45">
        <f>6/100*60</f>
        <v>3.5999999999999996</v>
      </c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</row>
    <row r="619" spans="1:15" ht="15.75" x14ac:dyDescent="0.25">
      <c r="A619" s="45">
        <v>119</v>
      </c>
      <c r="B619" s="44" t="s">
        <v>180</v>
      </c>
      <c r="C619" s="45">
        <v>250</v>
      </c>
      <c r="D619" s="45">
        <v>2.13</v>
      </c>
      <c r="E619" s="45">
        <v>5.0999999999999996</v>
      </c>
      <c r="F619" s="45">
        <v>14.55</v>
      </c>
      <c r="G619" s="45">
        <v>112.5</v>
      </c>
      <c r="H619" s="45">
        <v>0.05</v>
      </c>
      <c r="I619" s="45">
        <v>9.9499999999999993</v>
      </c>
      <c r="J619" s="45">
        <v>0</v>
      </c>
      <c r="K619" s="45">
        <v>2.4300000000000002</v>
      </c>
      <c r="L619" s="45">
        <v>26.25</v>
      </c>
      <c r="M619" s="45">
        <v>67</v>
      </c>
      <c r="N619" s="45">
        <v>19.5</v>
      </c>
      <c r="O619" s="45">
        <v>0.73</v>
      </c>
    </row>
    <row r="620" spans="1:15" ht="15.75" x14ac:dyDescent="0.25">
      <c r="A620" s="45"/>
      <c r="B620" s="45" t="s">
        <v>35</v>
      </c>
      <c r="C620" s="45">
        <v>10</v>
      </c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</row>
    <row r="621" spans="1:15" ht="15.75" x14ac:dyDescent="0.25">
      <c r="A621" s="45"/>
      <c r="B621" s="45" t="s">
        <v>47</v>
      </c>
      <c r="C621" s="45">
        <v>2</v>
      </c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</row>
    <row r="622" spans="1:15" ht="15.75" x14ac:dyDescent="0.25">
      <c r="A622" s="45"/>
      <c r="B622" s="45" t="s">
        <v>152</v>
      </c>
      <c r="C622" s="45">
        <f>40/1000*250</f>
        <v>10</v>
      </c>
      <c r="D622" s="45"/>
      <c r="E622" s="45"/>
      <c r="F622" s="45"/>
      <c r="G622" s="45"/>
      <c r="H622" s="45"/>
      <c r="I622" s="45"/>
      <c r="J622" s="45"/>
      <c r="K622" s="45"/>
      <c r="L622" s="45"/>
      <c r="M622" s="47"/>
      <c r="N622" s="45"/>
      <c r="O622" s="45"/>
    </row>
    <row r="623" spans="1:15" ht="15.75" x14ac:dyDescent="0.25">
      <c r="A623" s="45"/>
      <c r="B623" s="45" t="s">
        <v>36</v>
      </c>
      <c r="C623" s="45">
        <v>10</v>
      </c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</row>
    <row r="624" spans="1:15" ht="15.75" x14ac:dyDescent="0.25">
      <c r="A624" s="45"/>
      <c r="B624" s="45" t="s">
        <v>37</v>
      </c>
      <c r="C624" s="45">
        <f>39/1000*250</f>
        <v>9.75</v>
      </c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</row>
    <row r="625" spans="1:15" ht="15.75" x14ac:dyDescent="0.25">
      <c r="A625" s="45"/>
      <c r="B625" s="45" t="s">
        <v>38</v>
      </c>
      <c r="C625" s="45">
        <f>120/1000*250</f>
        <v>30</v>
      </c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</row>
    <row r="626" spans="1:15" ht="15.75" x14ac:dyDescent="0.25">
      <c r="A626" s="45"/>
      <c r="B626" s="45" t="s">
        <v>77</v>
      </c>
      <c r="C626" s="45">
        <v>25.12</v>
      </c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</row>
    <row r="627" spans="1:15" ht="15.75" x14ac:dyDescent="0.25">
      <c r="A627" s="45"/>
      <c r="B627" s="45" t="s">
        <v>41</v>
      </c>
      <c r="C627" s="45">
        <v>5</v>
      </c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</row>
    <row r="628" spans="1:15" ht="15.75" x14ac:dyDescent="0.25">
      <c r="A628" s="45">
        <v>328</v>
      </c>
      <c r="B628" s="44" t="s">
        <v>181</v>
      </c>
      <c r="C628" s="45">
        <v>230</v>
      </c>
      <c r="D628" s="45">
        <v>23.41</v>
      </c>
      <c r="E628" s="45">
        <v>24.6</v>
      </c>
      <c r="F628" s="45">
        <v>14.6</v>
      </c>
      <c r="G628" s="45">
        <v>373.2</v>
      </c>
      <c r="H628" s="45">
        <v>0.14000000000000001</v>
      </c>
      <c r="I628" s="45">
        <v>4.07</v>
      </c>
      <c r="J628" s="45">
        <v>0</v>
      </c>
      <c r="K628" s="45">
        <v>3.86</v>
      </c>
      <c r="L628" s="45">
        <v>28.43</v>
      </c>
      <c r="M628" s="45">
        <v>276.7</v>
      </c>
      <c r="N628" s="45">
        <v>50.07</v>
      </c>
      <c r="O628" s="45">
        <v>4.09</v>
      </c>
    </row>
    <row r="629" spans="1:15" ht="15.75" x14ac:dyDescent="0.25">
      <c r="A629" s="45"/>
      <c r="B629" s="45" t="s">
        <v>125</v>
      </c>
      <c r="C629" s="45">
        <v>117</v>
      </c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</row>
    <row r="630" spans="1:15" ht="15.75" x14ac:dyDescent="0.25">
      <c r="A630" s="45"/>
      <c r="B630" s="45" t="s">
        <v>34</v>
      </c>
      <c r="C630" s="45">
        <v>7.3</v>
      </c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</row>
    <row r="631" spans="1:15" ht="15.75" x14ac:dyDescent="0.25">
      <c r="A631" s="45"/>
      <c r="B631" s="45" t="s">
        <v>41</v>
      </c>
      <c r="C631" s="45">
        <v>7.3</v>
      </c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</row>
    <row r="632" spans="1:15" ht="15.75" x14ac:dyDescent="0.25">
      <c r="A632" s="45"/>
      <c r="B632" s="45" t="s">
        <v>36</v>
      </c>
      <c r="C632" s="45">
        <v>15.3</v>
      </c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</row>
    <row r="633" spans="1:15" ht="15.75" x14ac:dyDescent="0.25">
      <c r="A633" s="45"/>
      <c r="B633" s="45" t="s">
        <v>77</v>
      </c>
      <c r="C633" s="45">
        <v>119.18</v>
      </c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</row>
    <row r="634" spans="1:15" ht="15.75" x14ac:dyDescent="0.25">
      <c r="A634" s="45">
        <v>494</v>
      </c>
      <c r="B634" s="44" t="s">
        <v>351</v>
      </c>
      <c r="C634" s="45">
        <v>200</v>
      </c>
      <c r="D634" s="45">
        <v>0.3</v>
      </c>
      <c r="E634" s="45">
        <v>0.01</v>
      </c>
      <c r="F634" s="45">
        <v>17.5</v>
      </c>
      <c r="G634" s="45">
        <v>72</v>
      </c>
      <c r="H634" s="45">
        <v>0</v>
      </c>
      <c r="I634" s="45">
        <v>0.1</v>
      </c>
      <c r="J634" s="45">
        <v>0</v>
      </c>
      <c r="K634" s="45">
        <v>0.1</v>
      </c>
      <c r="L634" s="45">
        <v>16.399999999999999</v>
      </c>
      <c r="M634" s="45">
        <v>10.7</v>
      </c>
      <c r="N634" s="45">
        <v>4.3</v>
      </c>
      <c r="O634" s="45">
        <v>0.9</v>
      </c>
    </row>
    <row r="635" spans="1:15" ht="15.75" x14ac:dyDescent="0.25">
      <c r="A635" s="45"/>
      <c r="B635" s="45" t="s">
        <v>22</v>
      </c>
      <c r="C635" s="45">
        <v>10</v>
      </c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</row>
    <row r="636" spans="1:15" ht="15.75" x14ac:dyDescent="0.25">
      <c r="A636" s="45"/>
      <c r="B636" s="45" t="s">
        <v>177</v>
      </c>
      <c r="C636" s="45">
        <v>20</v>
      </c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</row>
    <row r="637" spans="1:15" ht="15.75" x14ac:dyDescent="0.25">
      <c r="A637" s="45"/>
      <c r="B637" s="44" t="s">
        <v>107</v>
      </c>
      <c r="C637" s="45">
        <v>40</v>
      </c>
      <c r="D637" s="45">
        <v>3.04</v>
      </c>
      <c r="E637" s="45">
        <v>0.32</v>
      </c>
      <c r="F637" s="45">
        <v>19.68</v>
      </c>
      <c r="G637" s="45">
        <v>94</v>
      </c>
      <c r="H637" s="45">
        <v>0.04</v>
      </c>
      <c r="I637" s="45">
        <v>0</v>
      </c>
      <c r="J637" s="45">
        <v>0</v>
      </c>
      <c r="K637" s="45">
        <v>0.44</v>
      </c>
      <c r="L637" s="45">
        <v>8</v>
      </c>
      <c r="M637" s="45">
        <v>26</v>
      </c>
      <c r="N637" s="45">
        <v>5.6</v>
      </c>
      <c r="O637" s="45">
        <v>0.44</v>
      </c>
    </row>
    <row r="638" spans="1:15" ht="15.75" x14ac:dyDescent="0.25">
      <c r="A638" s="45"/>
      <c r="B638" s="44" t="s">
        <v>73</v>
      </c>
      <c r="C638" s="45">
        <v>30</v>
      </c>
      <c r="D638" s="45">
        <v>2.64</v>
      </c>
      <c r="E638" s="45">
        <v>0.48</v>
      </c>
      <c r="F638" s="45">
        <v>13.36</v>
      </c>
      <c r="G638" s="45">
        <v>69.599999999999994</v>
      </c>
      <c r="H638" s="45">
        <v>7.0000000000000007E-2</v>
      </c>
      <c r="I638" s="45">
        <v>0</v>
      </c>
      <c r="J638" s="45">
        <v>0</v>
      </c>
      <c r="K638" s="45">
        <v>0.56000000000000005</v>
      </c>
      <c r="L638" s="45">
        <v>14</v>
      </c>
      <c r="M638" s="45">
        <v>63.2</v>
      </c>
      <c r="N638" s="45">
        <v>18.8</v>
      </c>
      <c r="O638" s="45">
        <v>1.56</v>
      </c>
    </row>
    <row r="639" spans="1:15" s="7" customFormat="1" ht="15.75" x14ac:dyDescent="0.25">
      <c r="A639" s="44"/>
      <c r="B639" s="44" t="s">
        <v>378</v>
      </c>
      <c r="C639" s="44"/>
      <c r="D639" s="44">
        <f t="shared" ref="D639:O639" si="31">D640+D646+D657+D664+D668+D669</f>
        <v>24.939999999999998</v>
      </c>
      <c r="E639" s="44">
        <f t="shared" si="31"/>
        <v>26.254999999999999</v>
      </c>
      <c r="F639" s="44">
        <f t="shared" si="31"/>
        <v>95.314000000000007</v>
      </c>
      <c r="G639" s="44">
        <f t="shared" si="31"/>
        <v>718.38499999999999</v>
      </c>
      <c r="H639" s="44">
        <f t="shared" si="31"/>
        <v>0.255</v>
      </c>
      <c r="I639" s="44">
        <f t="shared" si="31"/>
        <v>18.998999999999999</v>
      </c>
      <c r="J639" s="44">
        <f t="shared" si="31"/>
        <v>0</v>
      </c>
      <c r="K639" s="44">
        <f t="shared" si="31"/>
        <v>10.531999999999998</v>
      </c>
      <c r="L639" s="44">
        <f t="shared" si="31"/>
        <v>107.13200000000001</v>
      </c>
      <c r="M639" s="44">
        <f t="shared" si="31"/>
        <v>363.26</v>
      </c>
      <c r="N639" s="44">
        <f t="shared" si="31"/>
        <v>114.43499999999999</v>
      </c>
      <c r="O639" s="44">
        <f t="shared" si="31"/>
        <v>6.5970000000000013</v>
      </c>
    </row>
    <row r="640" spans="1:15" ht="31.5" x14ac:dyDescent="0.25">
      <c r="A640" s="45">
        <v>20</v>
      </c>
      <c r="B640" s="44" t="s">
        <v>182</v>
      </c>
      <c r="C640" s="45">
        <v>60</v>
      </c>
      <c r="D640" s="45">
        <f>1/100*60</f>
        <v>0.6</v>
      </c>
      <c r="E640" s="47">
        <v>3.72</v>
      </c>
      <c r="F640" s="45">
        <f>3.5/100*60</f>
        <v>2.1</v>
      </c>
      <c r="G640" s="45">
        <f>73/100*60</f>
        <v>43.8</v>
      </c>
      <c r="H640" s="45">
        <f>0.05/100*60</f>
        <v>0.03</v>
      </c>
      <c r="I640" s="45">
        <f>13.4/100*60</f>
        <v>8.0400000000000009</v>
      </c>
      <c r="J640" s="45">
        <v>0</v>
      </c>
      <c r="K640" s="45">
        <f>3.9/100*60</f>
        <v>2.34</v>
      </c>
      <c r="L640" s="45">
        <f>17.5/100*60</f>
        <v>10.5</v>
      </c>
      <c r="M640" s="45">
        <f>30.6/100*60</f>
        <v>18.36</v>
      </c>
      <c r="N640" s="45">
        <f>16.3/100*60</f>
        <v>9.7800000000000011</v>
      </c>
      <c r="O640" s="45">
        <f>0.72/100*60</f>
        <v>0.432</v>
      </c>
    </row>
    <row r="641" spans="1:15" ht="15.75" x14ac:dyDescent="0.25">
      <c r="A641" s="45"/>
      <c r="B641" s="45" t="s">
        <v>183</v>
      </c>
      <c r="C641" s="45">
        <f>20.2/100*60</f>
        <v>12.12</v>
      </c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</row>
    <row r="642" spans="1:15" ht="15.75" x14ac:dyDescent="0.25">
      <c r="A642" s="45"/>
      <c r="B642" s="45" t="s">
        <v>170</v>
      </c>
      <c r="C642" s="45">
        <f>63.6/100*60</f>
        <v>38.160000000000004</v>
      </c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</row>
    <row r="643" spans="1:15" ht="15.75" x14ac:dyDescent="0.25">
      <c r="A643" s="45"/>
      <c r="B643" s="45" t="s">
        <v>47</v>
      </c>
      <c r="C643" s="45">
        <f>0.25/100*60</f>
        <v>0.15</v>
      </c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</row>
    <row r="644" spans="1:15" ht="15.75" x14ac:dyDescent="0.25">
      <c r="A644" s="45"/>
      <c r="B644" s="45" t="s">
        <v>184</v>
      </c>
      <c r="C644" s="45">
        <f>11.2/100*60</f>
        <v>6.7199999999999989</v>
      </c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</row>
    <row r="645" spans="1:15" ht="15.75" x14ac:dyDescent="0.25">
      <c r="A645" s="45"/>
      <c r="B645" s="45" t="s">
        <v>41</v>
      </c>
      <c r="C645" s="45">
        <f>6/100*60</f>
        <v>3.5999999999999996</v>
      </c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</row>
    <row r="646" spans="1:15" ht="15.75" x14ac:dyDescent="0.25">
      <c r="A646" s="45">
        <v>95</v>
      </c>
      <c r="B646" s="44" t="s">
        <v>31</v>
      </c>
      <c r="C646" s="45">
        <v>250</v>
      </c>
      <c r="D646" s="45">
        <f>7.2/1000*250</f>
        <v>1.8</v>
      </c>
      <c r="E646" s="45">
        <f>17.7/1000*250</f>
        <v>4.4249999999999998</v>
      </c>
      <c r="F646" s="45">
        <f>28.6/1000*250</f>
        <v>7.15</v>
      </c>
      <c r="G646" s="45">
        <f>302.5/1000*250</f>
        <v>75.625</v>
      </c>
      <c r="H646" s="45">
        <f>0.18/1000*250</f>
        <v>4.4999999999999998E-2</v>
      </c>
      <c r="I646" s="45">
        <f>29.9/1000*250</f>
        <v>7.4749999999999996</v>
      </c>
      <c r="J646" s="45">
        <v>0</v>
      </c>
      <c r="K646" s="45">
        <f>9.6/1000*250</f>
        <v>2.4</v>
      </c>
      <c r="L646" s="45">
        <v>40.799999999999997</v>
      </c>
      <c r="M646" s="45">
        <v>52.8</v>
      </c>
      <c r="N646" s="45">
        <f>102.7/1000*250</f>
        <v>25.675000000000001</v>
      </c>
      <c r="O646" s="45">
        <f>4.86/1000*250</f>
        <v>1.2150000000000001</v>
      </c>
    </row>
    <row r="647" spans="1:15" ht="15.75" x14ac:dyDescent="0.25">
      <c r="A647" s="45"/>
      <c r="B647" s="45" t="s">
        <v>33</v>
      </c>
      <c r="C647" s="45">
        <v>40</v>
      </c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</row>
    <row r="648" spans="1:15" ht="15.75" x14ac:dyDescent="0.25">
      <c r="A648" s="45"/>
      <c r="B648" s="45" t="s">
        <v>34</v>
      </c>
      <c r="C648" s="45">
        <v>7.5</v>
      </c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</row>
    <row r="649" spans="1:15" ht="15.75" x14ac:dyDescent="0.25">
      <c r="A649" s="45"/>
      <c r="B649" s="45" t="s">
        <v>22</v>
      </c>
      <c r="C649" s="45">
        <v>2.5</v>
      </c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</row>
    <row r="650" spans="1:15" ht="15.75" x14ac:dyDescent="0.25">
      <c r="A650" s="45"/>
      <c r="B650" s="45" t="s">
        <v>35</v>
      </c>
      <c r="C650" s="45">
        <v>12.5</v>
      </c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</row>
    <row r="651" spans="1:15" ht="15.75" x14ac:dyDescent="0.25">
      <c r="A651" s="45"/>
      <c r="B651" s="45" t="s">
        <v>36</v>
      </c>
      <c r="C651" s="45">
        <v>10.07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</row>
    <row r="652" spans="1:15" ht="15.75" x14ac:dyDescent="0.25">
      <c r="A652" s="45"/>
      <c r="B652" s="45" t="s">
        <v>37</v>
      </c>
      <c r="C652" s="45">
        <v>12.27</v>
      </c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</row>
    <row r="653" spans="1:15" ht="15.75" x14ac:dyDescent="0.25">
      <c r="A653" s="45"/>
      <c r="B653" s="45" t="s">
        <v>38</v>
      </c>
      <c r="C653" s="45">
        <f>80/1000*250</f>
        <v>20</v>
      </c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</row>
    <row r="654" spans="1:15" ht="15.75" x14ac:dyDescent="0.25">
      <c r="A654" s="45"/>
      <c r="B654" s="45" t="s">
        <v>77</v>
      </c>
      <c r="C654" s="45">
        <v>20.05</v>
      </c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</row>
    <row r="655" spans="1:15" ht="15.75" x14ac:dyDescent="0.25">
      <c r="A655" s="45"/>
      <c r="B655" s="45" t="s">
        <v>41</v>
      </c>
      <c r="C655" s="45">
        <v>5</v>
      </c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</row>
    <row r="656" spans="1:15" ht="15.75" x14ac:dyDescent="0.25">
      <c r="A656" s="45"/>
      <c r="B656" s="45" t="s">
        <v>42</v>
      </c>
      <c r="C656" s="45">
        <v>3.75</v>
      </c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</row>
    <row r="657" spans="1:48" ht="15.75" x14ac:dyDescent="0.25">
      <c r="A657" s="45">
        <v>330</v>
      </c>
      <c r="B657" s="44" t="s">
        <v>185</v>
      </c>
      <c r="C657" s="45">
        <v>230</v>
      </c>
      <c r="D657" s="45">
        <f>18/250*230</f>
        <v>16.559999999999999</v>
      </c>
      <c r="E657" s="45">
        <v>17.11</v>
      </c>
      <c r="F657" s="45">
        <f>42.2/250*230</f>
        <v>38.823999999999998</v>
      </c>
      <c r="G657" s="45">
        <f>408/250*230</f>
        <v>375.35999999999996</v>
      </c>
      <c r="H657" s="45">
        <v>0.05</v>
      </c>
      <c r="I657" s="45">
        <f>0.2/250*230</f>
        <v>0.184</v>
      </c>
      <c r="J657" s="45">
        <v>0</v>
      </c>
      <c r="K657" s="45">
        <f>5.1/250*230</f>
        <v>4.6919999999999993</v>
      </c>
      <c r="L657" s="45">
        <f>22.1/250*230</f>
        <v>20.332000000000001</v>
      </c>
      <c r="M657" s="45">
        <v>194.9</v>
      </c>
      <c r="N657" s="45">
        <v>48.68</v>
      </c>
      <c r="O657" s="45">
        <v>1.79</v>
      </c>
      <c r="AV657" s="3">
        <v>2</v>
      </c>
    </row>
    <row r="658" spans="1:48" ht="15.75" x14ac:dyDescent="0.25">
      <c r="A658" s="45"/>
      <c r="B658" s="45" t="s">
        <v>44</v>
      </c>
      <c r="C658" s="45">
        <v>61.91</v>
      </c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</row>
    <row r="659" spans="1:48" ht="15.75" x14ac:dyDescent="0.25">
      <c r="A659" s="45"/>
      <c r="B659" s="45" t="s">
        <v>125</v>
      </c>
      <c r="C659" s="45">
        <f>82/250*230</f>
        <v>75.44</v>
      </c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</row>
    <row r="660" spans="1:48" ht="15.75" x14ac:dyDescent="0.25">
      <c r="A660" s="45"/>
      <c r="B660" s="45" t="s">
        <v>41</v>
      </c>
      <c r="C660" s="45">
        <f>10/250*230</f>
        <v>9.2000000000000011</v>
      </c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</row>
    <row r="661" spans="1:48" ht="15.75" x14ac:dyDescent="0.25">
      <c r="A661" s="45"/>
      <c r="B661" s="45" t="s">
        <v>47</v>
      </c>
      <c r="C661" s="45">
        <f>1/250*230</f>
        <v>0.92</v>
      </c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</row>
    <row r="662" spans="1:48" ht="15.75" x14ac:dyDescent="0.25">
      <c r="A662" s="45"/>
      <c r="B662" s="45" t="s">
        <v>36</v>
      </c>
      <c r="C662" s="45">
        <v>9.1999999999999993</v>
      </c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</row>
    <row r="663" spans="1:48" ht="15.75" x14ac:dyDescent="0.25">
      <c r="A663" s="45"/>
      <c r="B663" s="45" t="s">
        <v>37</v>
      </c>
      <c r="C663" s="45">
        <v>22.17</v>
      </c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</row>
    <row r="664" spans="1:48" ht="15.75" x14ac:dyDescent="0.25">
      <c r="A664" s="45">
        <v>487</v>
      </c>
      <c r="B664" s="44" t="s">
        <v>337</v>
      </c>
      <c r="C664" s="45">
        <v>200</v>
      </c>
      <c r="D664" s="45">
        <v>0.3</v>
      </c>
      <c r="E664" s="45">
        <v>0.2</v>
      </c>
      <c r="F664" s="45">
        <v>14.2</v>
      </c>
      <c r="G664" s="45">
        <v>60</v>
      </c>
      <c r="H664" s="45">
        <v>0.02</v>
      </c>
      <c r="I664" s="45">
        <v>3.3</v>
      </c>
      <c r="J664" s="45">
        <v>0</v>
      </c>
      <c r="K664" s="45">
        <v>0.1</v>
      </c>
      <c r="L664" s="45">
        <v>13.5</v>
      </c>
      <c r="M664" s="45">
        <v>8</v>
      </c>
      <c r="N664" s="45">
        <v>5.9</v>
      </c>
      <c r="O664" s="45">
        <v>1.1599999999999999</v>
      </c>
    </row>
    <row r="665" spans="1:48" ht="15.75" x14ac:dyDescent="0.25">
      <c r="A665" s="45"/>
      <c r="B665" s="45" t="s">
        <v>62</v>
      </c>
      <c r="C665" s="45">
        <v>49.2</v>
      </c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</row>
    <row r="666" spans="1:48" ht="15.75" x14ac:dyDescent="0.25">
      <c r="A666" s="45"/>
      <c r="B666" s="45" t="s">
        <v>22</v>
      </c>
      <c r="C666" s="45">
        <v>10</v>
      </c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</row>
    <row r="667" spans="1:48" ht="15.75" x14ac:dyDescent="0.25">
      <c r="A667" s="45"/>
      <c r="B667" s="45" t="s">
        <v>55</v>
      </c>
      <c r="C667" s="45">
        <v>14.4</v>
      </c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</row>
    <row r="668" spans="1:48" ht="15.75" x14ac:dyDescent="0.25">
      <c r="A668" s="45"/>
      <c r="B668" s="44" t="s">
        <v>107</v>
      </c>
      <c r="C668" s="45">
        <v>40</v>
      </c>
      <c r="D668" s="45">
        <v>3.04</v>
      </c>
      <c r="E668" s="45">
        <v>0.32</v>
      </c>
      <c r="F668" s="45">
        <v>19.68</v>
      </c>
      <c r="G668" s="45">
        <v>94</v>
      </c>
      <c r="H668" s="45">
        <v>0.04</v>
      </c>
      <c r="I668" s="45">
        <v>0</v>
      </c>
      <c r="J668" s="45">
        <v>0</v>
      </c>
      <c r="K668" s="45">
        <v>0.44</v>
      </c>
      <c r="L668" s="45">
        <v>8</v>
      </c>
      <c r="M668" s="45">
        <v>26</v>
      </c>
      <c r="N668" s="45">
        <v>5.6</v>
      </c>
      <c r="O668" s="45">
        <v>0.44</v>
      </c>
    </row>
    <row r="669" spans="1:48" ht="15.75" x14ac:dyDescent="0.25">
      <c r="A669" s="45"/>
      <c r="B669" s="44" t="s">
        <v>73</v>
      </c>
      <c r="C669" s="45">
        <v>30</v>
      </c>
      <c r="D669" s="45">
        <v>2.64</v>
      </c>
      <c r="E669" s="45">
        <v>0.48</v>
      </c>
      <c r="F669" s="45">
        <v>13.36</v>
      </c>
      <c r="G669" s="45">
        <v>69.599999999999994</v>
      </c>
      <c r="H669" s="45">
        <v>7.0000000000000007E-2</v>
      </c>
      <c r="I669" s="45">
        <v>0</v>
      </c>
      <c r="J669" s="45">
        <v>0</v>
      </c>
      <c r="K669" s="45">
        <v>0.56000000000000005</v>
      </c>
      <c r="L669" s="45">
        <v>14</v>
      </c>
      <c r="M669" s="45">
        <v>63.2</v>
      </c>
      <c r="N669" s="45">
        <v>18.8</v>
      </c>
      <c r="O669" s="45">
        <v>1.56</v>
      </c>
    </row>
    <row r="670" spans="1:48" s="7" customFormat="1" ht="15.75" x14ac:dyDescent="0.25">
      <c r="A670" s="44"/>
      <c r="B670" s="44" t="s">
        <v>377</v>
      </c>
      <c r="C670" s="44"/>
      <c r="D670" s="44">
        <f>D671+D678</f>
        <v>10.7</v>
      </c>
      <c r="E670" s="44">
        <f t="shared" ref="E670:O670" si="32">E671+E678</f>
        <v>17.399999999999999</v>
      </c>
      <c r="F670" s="44">
        <f t="shared" si="32"/>
        <v>36.5</v>
      </c>
      <c r="G670" s="44">
        <f t="shared" si="32"/>
        <v>442</v>
      </c>
      <c r="H670" s="44">
        <f t="shared" si="32"/>
        <v>7.0000000000000007E-2</v>
      </c>
      <c r="I670" s="44">
        <f t="shared" si="32"/>
        <v>8.1</v>
      </c>
      <c r="J670" s="44">
        <f t="shared" si="32"/>
        <v>0.14000000000000001</v>
      </c>
      <c r="K670" s="44">
        <f t="shared" si="32"/>
        <v>0.7</v>
      </c>
      <c r="L670" s="44">
        <f t="shared" si="32"/>
        <v>40</v>
      </c>
      <c r="M670" s="44">
        <f t="shared" si="32"/>
        <v>53</v>
      </c>
      <c r="N670" s="44">
        <f t="shared" si="32"/>
        <v>11</v>
      </c>
      <c r="O670" s="44">
        <f t="shared" si="32"/>
        <v>1.4</v>
      </c>
    </row>
    <row r="671" spans="1:48" ht="15.75" x14ac:dyDescent="0.25">
      <c r="A671" s="45"/>
      <c r="B671" s="44" t="s">
        <v>297</v>
      </c>
      <c r="C671" s="45">
        <v>100</v>
      </c>
      <c r="D671" s="45">
        <v>10.1</v>
      </c>
      <c r="E671" s="45">
        <v>17.2</v>
      </c>
      <c r="F671" s="45">
        <v>36.299999999999997</v>
      </c>
      <c r="G671" s="45">
        <v>306</v>
      </c>
      <c r="H671" s="45">
        <v>0.05</v>
      </c>
      <c r="I671" s="45">
        <v>0.1</v>
      </c>
      <c r="J671" s="45">
        <v>0.14000000000000001</v>
      </c>
      <c r="K671" s="45">
        <v>0.7</v>
      </c>
      <c r="L671" s="45">
        <v>20</v>
      </c>
      <c r="M671" s="45">
        <v>53</v>
      </c>
      <c r="N671" s="45">
        <v>11</v>
      </c>
      <c r="O671" s="45">
        <v>0.8</v>
      </c>
    </row>
    <row r="672" spans="1:48" ht="15.75" x14ac:dyDescent="0.25">
      <c r="A672" s="45"/>
      <c r="B672" s="45" t="s">
        <v>46</v>
      </c>
      <c r="C672" s="45">
        <v>45.38</v>
      </c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</row>
    <row r="673" spans="1:15" ht="15.75" x14ac:dyDescent="0.25">
      <c r="A673" s="45"/>
      <c r="B673" s="45" t="s">
        <v>22</v>
      </c>
      <c r="C673" s="45">
        <v>6.9</v>
      </c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</row>
    <row r="674" spans="1:15" ht="15.75" x14ac:dyDescent="0.25">
      <c r="A674" s="45"/>
      <c r="B674" s="45" t="s">
        <v>23</v>
      </c>
      <c r="C674" s="45">
        <v>5</v>
      </c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</row>
    <row r="675" spans="1:15" ht="15.75" x14ac:dyDescent="0.25">
      <c r="A675" s="45"/>
      <c r="B675" s="45" t="s">
        <v>96</v>
      </c>
      <c r="C675" s="45">
        <v>5</v>
      </c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</row>
    <row r="676" spans="1:15" ht="15.75" x14ac:dyDescent="0.25">
      <c r="A676" s="45"/>
      <c r="B676" s="45" t="s">
        <v>301</v>
      </c>
      <c r="C676" s="45">
        <v>1.5</v>
      </c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</row>
    <row r="677" spans="1:15" ht="15.75" x14ac:dyDescent="0.25">
      <c r="A677" s="45"/>
      <c r="B677" s="45" t="s">
        <v>94</v>
      </c>
      <c r="C677" s="45">
        <v>30</v>
      </c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</row>
    <row r="678" spans="1:15" ht="15.75" x14ac:dyDescent="0.25">
      <c r="A678" s="45"/>
      <c r="B678" s="44" t="s">
        <v>186</v>
      </c>
      <c r="C678" s="45">
        <v>200</v>
      </c>
      <c r="D678" s="45">
        <v>0.6</v>
      </c>
      <c r="E678" s="45">
        <v>0.2</v>
      </c>
      <c r="F678" s="45">
        <v>0.2</v>
      </c>
      <c r="G678" s="45">
        <v>136</v>
      </c>
      <c r="H678" s="45">
        <v>0.02</v>
      </c>
      <c r="I678" s="45">
        <v>8</v>
      </c>
      <c r="J678" s="45">
        <v>0</v>
      </c>
      <c r="K678" s="45">
        <v>0</v>
      </c>
      <c r="L678" s="45">
        <v>20</v>
      </c>
      <c r="M678" s="45">
        <v>0</v>
      </c>
      <c r="N678" s="45">
        <v>0</v>
      </c>
      <c r="O678" s="45">
        <v>0.6</v>
      </c>
    </row>
    <row r="679" spans="1:15" ht="15.75" x14ac:dyDescent="0.25">
      <c r="A679" s="45"/>
      <c r="B679" s="45" t="s">
        <v>187</v>
      </c>
      <c r="C679" s="45">
        <v>200</v>
      </c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</row>
    <row r="680" spans="1:15" s="7" customFormat="1" ht="15.75" x14ac:dyDescent="0.25">
      <c r="A680" s="44"/>
      <c r="B680" s="44" t="s">
        <v>66</v>
      </c>
      <c r="C680" s="44"/>
      <c r="D680" s="44">
        <f t="shared" ref="D680:O680" si="33">D597+D614+D639+D670</f>
        <v>86.339999999999989</v>
      </c>
      <c r="E680" s="44">
        <f t="shared" si="33"/>
        <v>94.144999999999982</v>
      </c>
      <c r="F680" s="44">
        <f t="shared" si="33"/>
        <v>301.50400000000002</v>
      </c>
      <c r="G680" s="44">
        <f t="shared" si="33"/>
        <v>2499.8850000000002</v>
      </c>
      <c r="H680" s="44">
        <f t="shared" si="33"/>
        <v>0.99099999999999988</v>
      </c>
      <c r="I680" s="44">
        <f t="shared" si="33"/>
        <v>45.859000000000002</v>
      </c>
      <c r="J680" s="44">
        <f t="shared" si="33"/>
        <v>56.14</v>
      </c>
      <c r="K680" s="44">
        <f t="shared" si="33"/>
        <v>22.351999999999997</v>
      </c>
      <c r="L680" s="44">
        <f t="shared" si="33"/>
        <v>512.73199999999997</v>
      </c>
      <c r="M680" s="44">
        <f t="shared" si="33"/>
        <v>1244.96</v>
      </c>
      <c r="N680" s="44">
        <f t="shared" si="33"/>
        <v>320.28499999999997</v>
      </c>
      <c r="O680" s="44">
        <f t="shared" si="33"/>
        <v>20.222999999999999</v>
      </c>
    </row>
    <row r="681" spans="1:15" ht="15.75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</row>
    <row r="682" spans="1:15" ht="18" x14ac:dyDescent="0.25">
      <c r="A682" s="1" t="s">
        <v>188</v>
      </c>
    </row>
    <row r="684" spans="1:15" ht="15.75" x14ac:dyDescent="0.25">
      <c r="A684" s="2" t="s">
        <v>19</v>
      </c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</row>
    <row r="685" spans="1:15" ht="15" x14ac:dyDescent="0.2">
      <c r="A685" s="62" t="s">
        <v>17</v>
      </c>
      <c r="B685" s="61" t="s">
        <v>0</v>
      </c>
      <c r="C685" s="61" t="s">
        <v>1</v>
      </c>
      <c r="D685" s="63" t="s">
        <v>9</v>
      </c>
      <c r="E685" s="64"/>
      <c r="F685" s="65"/>
      <c r="G685" s="61" t="s">
        <v>10</v>
      </c>
      <c r="H685" s="61" t="s">
        <v>7</v>
      </c>
      <c r="I685" s="61"/>
      <c r="J685" s="61"/>
      <c r="K685" s="61"/>
      <c r="L685" s="61" t="s">
        <v>8</v>
      </c>
      <c r="M685" s="61"/>
      <c r="N685" s="61"/>
      <c r="O685" s="61"/>
    </row>
    <row r="686" spans="1:15" ht="30" x14ac:dyDescent="0.2">
      <c r="A686" s="62"/>
      <c r="B686" s="61"/>
      <c r="C686" s="61"/>
      <c r="D686" s="41" t="s">
        <v>2</v>
      </c>
      <c r="E686" s="42" t="s">
        <v>3</v>
      </c>
      <c r="F686" s="42" t="s">
        <v>4</v>
      </c>
      <c r="G686" s="61"/>
      <c r="H686" s="42" t="s">
        <v>11</v>
      </c>
      <c r="I686" s="42" t="s">
        <v>12</v>
      </c>
      <c r="J686" s="42" t="s">
        <v>13</v>
      </c>
      <c r="K686" s="42" t="s">
        <v>5</v>
      </c>
      <c r="L686" s="43" t="s">
        <v>14</v>
      </c>
      <c r="M686" s="42" t="s">
        <v>15</v>
      </c>
      <c r="N686" s="42" t="s">
        <v>6</v>
      </c>
      <c r="O686" s="42" t="s">
        <v>16</v>
      </c>
    </row>
    <row r="687" spans="1:15" ht="15.75" x14ac:dyDescent="0.25">
      <c r="A687" s="44"/>
      <c r="B687" s="44" t="s">
        <v>344</v>
      </c>
      <c r="C687" s="44"/>
      <c r="D687" s="44">
        <f t="shared" ref="D687:O687" si="34">D688+D698+D701+D706+D707</f>
        <v>39.08</v>
      </c>
      <c r="E687" s="44">
        <f t="shared" si="34"/>
        <v>11.31</v>
      </c>
      <c r="F687" s="44">
        <f t="shared" si="34"/>
        <v>91.160000000000011</v>
      </c>
      <c r="G687" s="44">
        <f t="shared" si="34"/>
        <v>623.7700000000001</v>
      </c>
      <c r="H687" s="44">
        <f t="shared" si="34"/>
        <v>0.25</v>
      </c>
      <c r="I687" s="44">
        <f t="shared" si="34"/>
        <v>0.96</v>
      </c>
      <c r="J687" s="44">
        <f t="shared" si="34"/>
        <v>74</v>
      </c>
      <c r="K687" s="44">
        <f t="shared" si="34"/>
        <v>1.51</v>
      </c>
      <c r="L687" s="44">
        <f t="shared" si="34"/>
        <v>362.88</v>
      </c>
      <c r="M687" s="44">
        <f t="shared" si="34"/>
        <v>487.03</v>
      </c>
      <c r="N687" s="44">
        <f t="shared" si="34"/>
        <v>77.14</v>
      </c>
      <c r="O687" s="44">
        <f t="shared" si="34"/>
        <v>4.16</v>
      </c>
    </row>
    <row r="688" spans="1:15" ht="15.75" x14ac:dyDescent="0.25">
      <c r="A688" s="45">
        <v>279</v>
      </c>
      <c r="B688" s="44" t="s">
        <v>91</v>
      </c>
      <c r="C688" s="45">
        <v>150</v>
      </c>
      <c r="D688" s="45">
        <v>31.6</v>
      </c>
      <c r="E688" s="45">
        <v>9.1999999999999993</v>
      </c>
      <c r="F688" s="45">
        <v>25.3</v>
      </c>
      <c r="G688" s="45">
        <v>310</v>
      </c>
      <c r="H688" s="45">
        <v>0.12</v>
      </c>
      <c r="I688" s="45">
        <v>0.6</v>
      </c>
      <c r="J688" s="45">
        <v>64.5</v>
      </c>
      <c r="K688" s="45">
        <v>0.3</v>
      </c>
      <c r="L688" s="45">
        <v>275.2</v>
      </c>
      <c r="M688" s="45">
        <v>346.7</v>
      </c>
      <c r="N688" s="45">
        <v>38.4</v>
      </c>
      <c r="O688" s="45">
        <v>1.1100000000000001</v>
      </c>
    </row>
    <row r="689" spans="1:15" ht="15.75" x14ac:dyDescent="0.25">
      <c r="A689" s="45"/>
      <c r="B689" s="45" t="s">
        <v>92</v>
      </c>
      <c r="C689" s="45">
        <v>10</v>
      </c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</row>
    <row r="690" spans="1:15" ht="15.75" x14ac:dyDescent="0.25">
      <c r="A690" s="45"/>
      <c r="B690" s="45" t="s">
        <v>93</v>
      </c>
      <c r="C690" s="45">
        <v>5</v>
      </c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</row>
    <row r="691" spans="1:15" ht="15.75" x14ac:dyDescent="0.25">
      <c r="A691" s="45"/>
      <c r="B691" s="45" t="s">
        <v>22</v>
      </c>
      <c r="C691" s="45">
        <v>10</v>
      </c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</row>
    <row r="692" spans="1:15" ht="15.75" x14ac:dyDescent="0.25">
      <c r="A692" s="45"/>
      <c r="B692" s="45" t="s">
        <v>25</v>
      </c>
      <c r="C692" s="45">
        <v>39</v>
      </c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</row>
    <row r="693" spans="1:15" ht="15.75" x14ac:dyDescent="0.25">
      <c r="A693" s="45"/>
      <c r="B693" s="45" t="s">
        <v>94</v>
      </c>
      <c r="C693" s="45">
        <v>140</v>
      </c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</row>
    <row r="694" spans="1:15" ht="15.75" x14ac:dyDescent="0.25">
      <c r="A694" s="45"/>
      <c r="B694" s="45" t="s">
        <v>47</v>
      </c>
      <c r="C694" s="45">
        <v>1.5</v>
      </c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</row>
    <row r="695" spans="1:15" ht="15.75" x14ac:dyDescent="0.25">
      <c r="A695" s="45"/>
      <c r="B695" s="45" t="s">
        <v>35</v>
      </c>
      <c r="C695" s="45">
        <v>5</v>
      </c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</row>
    <row r="696" spans="1:15" ht="15.75" x14ac:dyDescent="0.25">
      <c r="A696" s="45"/>
      <c r="B696" s="45" t="s">
        <v>95</v>
      </c>
      <c r="C696" s="45">
        <v>1.4999999999999999E-2</v>
      </c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</row>
    <row r="697" spans="1:15" ht="15.75" x14ac:dyDescent="0.25">
      <c r="A697" s="45"/>
      <c r="B697" s="45" t="s">
        <v>96</v>
      </c>
      <c r="C697" s="45">
        <v>4</v>
      </c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</row>
    <row r="698" spans="1:15" ht="15.75" x14ac:dyDescent="0.25">
      <c r="A698" s="45">
        <v>436</v>
      </c>
      <c r="B698" s="44" t="s">
        <v>189</v>
      </c>
      <c r="C698" s="45">
        <v>35</v>
      </c>
      <c r="D698" s="45">
        <v>0.2</v>
      </c>
      <c r="E698" s="45">
        <v>0.01</v>
      </c>
      <c r="F698" s="45">
        <v>21.32</v>
      </c>
      <c r="G698" s="45">
        <v>86.17</v>
      </c>
      <c r="H698" s="45">
        <v>0</v>
      </c>
      <c r="I698" s="45">
        <v>0.06</v>
      </c>
      <c r="J698" s="45">
        <v>0</v>
      </c>
      <c r="K698" s="45">
        <v>0.21</v>
      </c>
      <c r="L698" s="45">
        <v>6.58</v>
      </c>
      <c r="M698" s="45">
        <v>5.23</v>
      </c>
      <c r="N698" s="45">
        <v>3.84</v>
      </c>
      <c r="O698" s="45">
        <v>0.18</v>
      </c>
    </row>
    <row r="699" spans="1:15" ht="15.75" x14ac:dyDescent="0.25">
      <c r="A699" s="45"/>
      <c r="B699" s="45" t="s">
        <v>22</v>
      </c>
      <c r="C699" s="45">
        <v>21</v>
      </c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</row>
    <row r="700" spans="1:15" ht="31.5" x14ac:dyDescent="0.25">
      <c r="A700" s="45"/>
      <c r="B700" s="45" t="s">
        <v>190</v>
      </c>
      <c r="C700" s="45">
        <v>3.85</v>
      </c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</row>
    <row r="701" spans="1:15" ht="15.75" x14ac:dyDescent="0.25">
      <c r="A701" s="45">
        <v>460</v>
      </c>
      <c r="B701" s="44" t="s">
        <v>144</v>
      </c>
      <c r="C701" s="45">
        <v>200</v>
      </c>
      <c r="D701" s="45">
        <v>1.6</v>
      </c>
      <c r="E701" s="45">
        <v>1.3</v>
      </c>
      <c r="F701" s="45">
        <v>11.5</v>
      </c>
      <c r="G701" s="45">
        <v>64</v>
      </c>
      <c r="H701" s="45">
        <v>0.02</v>
      </c>
      <c r="I701" s="45">
        <v>0.3</v>
      </c>
      <c r="J701" s="45">
        <v>9.5</v>
      </c>
      <c r="K701" s="45">
        <v>0</v>
      </c>
      <c r="L701" s="45">
        <v>59.1</v>
      </c>
      <c r="M701" s="45">
        <v>45.9</v>
      </c>
      <c r="N701" s="45">
        <v>10.5</v>
      </c>
      <c r="O701" s="45">
        <v>0.87</v>
      </c>
    </row>
    <row r="702" spans="1:15" ht="15.75" x14ac:dyDescent="0.25">
      <c r="A702" s="45"/>
      <c r="B702" s="45" t="s">
        <v>25</v>
      </c>
      <c r="C702" s="45">
        <v>50</v>
      </c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</row>
    <row r="703" spans="1:15" ht="15.75" x14ac:dyDescent="0.25">
      <c r="A703" s="45"/>
      <c r="B703" s="45" t="s">
        <v>22</v>
      </c>
      <c r="C703" s="45">
        <v>10</v>
      </c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</row>
    <row r="704" spans="1:15" ht="15.75" x14ac:dyDescent="0.25">
      <c r="A704" s="45"/>
      <c r="B704" s="45" t="s">
        <v>71</v>
      </c>
      <c r="C704" s="45">
        <v>1</v>
      </c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</row>
    <row r="705" spans="1:15" ht="15.75" x14ac:dyDescent="0.25">
      <c r="A705" s="45"/>
      <c r="B705" s="44" t="s">
        <v>231</v>
      </c>
      <c r="C705" s="45">
        <v>200</v>
      </c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</row>
    <row r="706" spans="1:15" ht="15.75" x14ac:dyDescent="0.25">
      <c r="A706" s="45"/>
      <c r="B706" s="44" t="s">
        <v>107</v>
      </c>
      <c r="C706" s="45">
        <v>40</v>
      </c>
      <c r="D706" s="45">
        <v>3.04</v>
      </c>
      <c r="E706" s="45">
        <v>0.32</v>
      </c>
      <c r="F706" s="45">
        <v>19.68</v>
      </c>
      <c r="G706" s="45">
        <v>94</v>
      </c>
      <c r="H706" s="45">
        <v>0.04</v>
      </c>
      <c r="I706" s="45">
        <v>0</v>
      </c>
      <c r="J706" s="45">
        <v>0</v>
      </c>
      <c r="K706" s="45">
        <v>0.44</v>
      </c>
      <c r="L706" s="45">
        <v>8</v>
      </c>
      <c r="M706" s="45">
        <v>26</v>
      </c>
      <c r="N706" s="45">
        <v>5.6</v>
      </c>
      <c r="O706" s="45">
        <v>0.44</v>
      </c>
    </row>
    <row r="707" spans="1:15" ht="15.75" x14ac:dyDescent="0.25">
      <c r="A707" s="45"/>
      <c r="B707" s="44" t="s">
        <v>73</v>
      </c>
      <c r="C707" s="45">
        <v>30</v>
      </c>
      <c r="D707" s="45">
        <v>2.64</v>
      </c>
      <c r="E707" s="45">
        <v>0.48</v>
      </c>
      <c r="F707" s="45">
        <v>13.36</v>
      </c>
      <c r="G707" s="45">
        <v>69.599999999999994</v>
      </c>
      <c r="H707" s="45">
        <v>7.0000000000000007E-2</v>
      </c>
      <c r="I707" s="45">
        <v>0</v>
      </c>
      <c r="J707" s="45">
        <v>0</v>
      </c>
      <c r="K707" s="45">
        <v>0.56000000000000005</v>
      </c>
      <c r="L707" s="45">
        <v>14</v>
      </c>
      <c r="M707" s="45">
        <v>63.2</v>
      </c>
      <c r="N707" s="45">
        <v>18.8</v>
      </c>
      <c r="O707" s="45">
        <v>1.56</v>
      </c>
    </row>
    <row r="708" spans="1:15" s="7" customFormat="1" ht="15.75" x14ac:dyDescent="0.25">
      <c r="A708" s="44"/>
      <c r="B708" s="44" t="s">
        <v>354</v>
      </c>
      <c r="C708" s="44"/>
      <c r="D708" s="44">
        <f t="shared" ref="D708:O708" si="35">D709+D711+D717+D725+D729+D730</f>
        <v>32.204999999999998</v>
      </c>
      <c r="E708" s="44">
        <f t="shared" si="35"/>
        <v>24.905000000000001</v>
      </c>
      <c r="F708" s="44">
        <f t="shared" si="35"/>
        <v>81.89</v>
      </c>
      <c r="G708" s="44">
        <f t="shared" si="35"/>
        <v>681.9</v>
      </c>
      <c r="H708" s="44">
        <f t="shared" si="35"/>
        <v>0.46</v>
      </c>
      <c r="I708" s="44">
        <f t="shared" si="35"/>
        <v>27.66</v>
      </c>
      <c r="J708" s="44">
        <f t="shared" si="35"/>
        <v>13</v>
      </c>
      <c r="K708" s="44">
        <f t="shared" si="35"/>
        <v>5.99</v>
      </c>
      <c r="L708" s="44">
        <f t="shared" si="35"/>
        <v>129.19999999999999</v>
      </c>
      <c r="M708" s="44">
        <f t="shared" si="35"/>
        <v>508.92</v>
      </c>
      <c r="N708" s="44">
        <f t="shared" si="35"/>
        <v>130.995</v>
      </c>
      <c r="O708" s="44">
        <f t="shared" si="35"/>
        <v>8.4700000000000006</v>
      </c>
    </row>
    <row r="709" spans="1:15" ht="15.75" x14ac:dyDescent="0.25">
      <c r="A709" s="45">
        <v>148</v>
      </c>
      <c r="B709" s="44" t="s">
        <v>191</v>
      </c>
      <c r="C709" s="45">
        <v>60</v>
      </c>
      <c r="D709" s="45">
        <v>0.8</v>
      </c>
      <c r="E709" s="45">
        <v>0.1</v>
      </c>
      <c r="F709" s="45">
        <v>2.5</v>
      </c>
      <c r="G709" s="45">
        <v>14</v>
      </c>
      <c r="H709" s="45">
        <v>0.03</v>
      </c>
      <c r="I709" s="45">
        <v>10</v>
      </c>
      <c r="J709" s="45">
        <v>0</v>
      </c>
      <c r="K709" s="45">
        <v>0.1</v>
      </c>
      <c r="L709" s="45">
        <v>23</v>
      </c>
      <c r="M709" s="45">
        <v>42</v>
      </c>
      <c r="N709" s="45">
        <v>14</v>
      </c>
      <c r="O709" s="45">
        <v>0.6</v>
      </c>
    </row>
    <row r="710" spans="1:15" ht="15.75" x14ac:dyDescent="0.25">
      <c r="A710" s="45"/>
      <c r="B710" s="45" t="s">
        <v>131</v>
      </c>
      <c r="C710" s="45">
        <v>60</v>
      </c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</row>
    <row r="711" spans="1:15" ht="15.75" x14ac:dyDescent="0.25">
      <c r="A711" s="45">
        <v>121</v>
      </c>
      <c r="B711" s="44" t="s">
        <v>192</v>
      </c>
      <c r="C711" s="45">
        <v>250</v>
      </c>
      <c r="D711" s="45">
        <f>27.7/1000*250</f>
        <v>6.9249999999999998</v>
      </c>
      <c r="E711" s="45">
        <f>9.3/1000*250</f>
        <v>2.3250000000000002</v>
      </c>
      <c r="F711" s="45">
        <f>49/1000*250</f>
        <v>12.25</v>
      </c>
      <c r="G711" s="45">
        <f>390/1000*250</f>
        <v>97.5</v>
      </c>
      <c r="H711" s="45">
        <f>0.56/1000*250</f>
        <v>0.14000000000000001</v>
      </c>
      <c r="I711" s="45">
        <f>37.6/1000*250</f>
        <v>9.4</v>
      </c>
      <c r="J711" s="45">
        <f>52/1000*250</f>
        <v>13</v>
      </c>
      <c r="K711" s="45">
        <v>0.4</v>
      </c>
      <c r="L711" s="45">
        <f>147.8/1000*250</f>
        <v>36.950000000000003</v>
      </c>
      <c r="M711" s="45">
        <v>130.52000000000001</v>
      </c>
      <c r="N711" s="45">
        <f>138.3/1000*250</f>
        <v>34.575000000000003</v>
      </c>
      <c r="O711" s="45">
        <f>4.36/1000*250</f>
        <v>1.0900000000000001</v>
      </c>
    </row>
    <row r="712" spans="1:15" ht="15.75" x14ac:dyDescent="0.25">
      <c r="A712" s="45"/>
      <c r="B712" s="45" t="s">
        <v>23</v>
      </c>
      <c r="C712" s="45">
        <f>10/1000*250</f>
        <v>2.5</v>
      </c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</row>
    <row r="713" spans="1:15" ht="15.75" x14ac:dyDescent="0.25">
      <c r="A713" s="45"/>
      <c r="B713" s="45" t="s">
        <v>283</v>
      </c>
      <c r="C713" s="45">
        <f>120.4/1000*250</f>
        <v>30.1</v>
      </c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</row>
    <row r="714" spans="1:15" ht="15.75" x14ac:dyDescent="0.25">
      <c r="A714" s="45"/>
      <c r="B714" s="45" t="s">
        <v>47</v>
      </c>
      <c r="C714" s="45">
        <f>8/1000*250</f>
        <v>2</v>
      </c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</row>
    <row r="715" spans="1:15" ht="15.75" x14ac:dyDescent="0.25">
      <c r="A715" s="45"/>
      <c r="B715" s="45" t="s">
        <v>36</v>
      </c>
      <c r="C715" s="45">
        <f>50.4/1000*250</f>
        <v>12.6</v>
      </c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</row>
    <row r="716" spans="1:15" ht="15.75" x14ac:dyDescent="0.25">
      <c r="A716" s="45"/>
      <c r="B716" s="45" t="s">
        <v>77</v>
      </c>
      <c r="C716" s="45">
        <f>345/1000*250</f>
        <v>86.25</v>
      </c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</row>
    <row r="717" spans="1:15" ht="15.75" x14ac:dyDescent="0.25">
      <c r="A717" s="45">
        <v>325</v>
      </c>
      <c r="B717" s="44" t="s">
        <v>193</v>
      </c>
      <c r="C717" s="45">
        <v>230</v>
      </c>
      <c r="D717" s="45">
        <v>18.5</v>
      </c>
      <c r="E717" s="45">
        <v>21.48</v>
      </c>
      <c r="F717" s="45">
        <v>19.899999999999999</v>
      </c>
      <c r="G717" s="45">
        <v>346.8</v>
      </c>
      <c r="H717" s="45">
        <v>0.16</v>
      </c>
      <c r="I717" s="45">
        <v>4.96</v>
      </c>
      <c r="J717" s="45">
        <v>0</v>
      </c>
      <c r="K717" s="45">
        <v>4.3899999999999997</v>
      </c>
      <c r="L717" s="45">
        <v>33.75</v>
      </c>
      <c r="M717" s="45">
        <v>239.2</v>
      </c>
      <c r="N717" s="45">
        <v>52.12</v>
      </c>
      <c r="O717" s="45">
        <v>3.62</v>
      </c>
    </row>
    <row r="718" spans="1:15" ht="15.75" x14ac:dyDescent="0.25">
      <c r="A718" s="45"/>
      <c r="B718" s="45" t="s">
        <v>79</v>
      </c>
      <c r="C718" s="45">
        <v>84.39</v>
      </c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</row>
    <row r="719" spans="1:15" ht="15.75" x14ac:dyDescent="0.25">
      <c r="A719" s="45"/>
      <c r="B719" s="45" t="s">
        <v>34</v>
      </c>
      <c r="C719" s="45">
        <v>10.63</v>
      </c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</row>
    <row r="720" spans="1:15" ht="15.75" x14ac:dyDescent="0.25">
      <c r="A720" s="45"/>
      <c r="B720" s="45" t="s">
        <v>41</v>
      </c>
      <c r="C720" s="45">
        <v>8.51</v>
      </c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</row>
    <row r="721" spans="1:15" ht="15.75" x14ac:dyDescent="0.25">
      <c r="A721" s="45"/>
      <c r="B721" s="45" t="s">
        <v>46</v>
      </c>
      <c r="C721" s="45">
        <v>3.54</v>
      </c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</row>
    <row r="722" spans="1:15" ht="15.75" x14ac:dyDescent="0.25">
      <c r="A722" s="45"/>
      <c r="B722" s="45" t="s">
        <v>54</v>
      </c>
      <c r="C722" s="45">
        <v>21.06</v>
      </c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</row>
    <row r="723" spans="1:15" ht="15.75" x14ac:dyDescent="0.25">
      <c r="A723" s="45"/>
      <c r="B723" s="45" t="s">
        <v>36</v>
      </c>
      <c r="C723" s="45">
        <v>17.78</v>
      </c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</row>
    <row r="724" spans="1:15" ht="15.75" x14ac:dyDescent="0.25">
      <c r="A724" s="45"/>
      <c r="B724" s="45" t="s">
        <v>77</v>
      </c>
      <c r="C724" s="45">
        <v>141.9</v>
      </c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</row>
    <row r="725" spans="1:15" ht="15.75" x14ac:dyDescent="0.25">
      <c r="A725" s="45">
        <v>488</v>
      </c>
      <c r="B725" s="44" t="s">
        <v>326</v>
      </c>
      <c r="C725" s="45">
        <v>200</v>
      </c>
      <c r="D725" s="45">
        <v>0.3</v>
      </c>
      <c r="E725" s="45">
        <v>0.2</v>
      </c>
      <c r="F725" s="45">
        <v>14.2</v>
      </c>
      <c r="G725" s="45">
        <v>60</v>
      </c>
      <c r="H725" s="45">
        <v>0.02</v>
      </c>
      <c r="I725" s="45">
        <v>3.3</v>
      </c>
      <c r="J725" s="45">
        <v>0</v>
      </c>
      <c r="K725" s="45">
        <v>0.1</v>
      </c>
      <c r="L725" s="45">
        <v>13.5</v>
      </c>
      <c r="M725" s="45">
        <v>8</v>
      </c>
      <c r="N725" s="45">
        <v>5.9</v>
      </c>
      <c r="O725" s="45">
        <v>1.1599999999999999</v>
      </c>
    </row>
    <row r="726" spans="1:15" ht="15.75" x14ac:dyDescent="0.25">
      <c r="A726" s="45"/>
      <c r="B726" s="45" t="s">
        <v>62</v>
      </c>
      <c r="C726" s="45">
        <v>36.9</v>
      </c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</row>
    <row r="727" spans="1:15" ht="15.75" x14ac:dyDescent="0.25">
      <c r="A727" s="45"/>
      <c r="B727" s="45" t="s">
        <v>63</v>
      </c>
      <c r="C727" s="45">
        <v>39.5</v>
      </c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</row>
    <row r="728" spans="1:15" ht="15.75" x14ac:dyDescent="0.25">
      <c r="A728" s="45"/>
      <c r="B728" s="45" t="s">
        <v>22</v>
      </c>
      <c r="C728" s="45">
        <v>10</v>
      </c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</row>
    <row r="729" spans="1:15" ht="15.75" x14ac:dyDescent="0.25">
      <c r="A729" s="45"/>
      <c r="B729" s="44" t="s">
        <v>107</v>
      </c>
      <c r="C729" s="45">
        <v>40</v>
      </c>
      <c r="D729" s="45">
        <v>3.04</v>
      </c>
      <c r="E729" s="45">
        <v>0.32</v>
      </c>
      <c r="F729" s="45">
        <v>19.68</v>
      </c>
      <c r="G729" s="45">
        <v>94</v>
      </c>
      <c r="H729" s="45">
        <v>0.04</v>
      </c>
      <c r="I729" s="45">
        <v>0</v>
      </c>
      <c r="J729" s="45">
        <v>0</v>
      </c>
      <c r="K729" s="45">
        <v>0.44</v>
      </c>
      <c r="L729" s="45">
        <v>8</v>
      </c>
      <c r="M729" s="45">
        <v>26</v>
      </c>
      <c r="N729" s="45">
        <v>5.6</v>
      </c>
      <c r="O729" s="45">
        <v>0.44</v>
      </c>
    </row>
    <row r="730" spans="1:15" ht="15.75" x14ac:dyDescent="0.25">
      <c r="A730" s="45"/>
      <c r="B730" s="44" t="s">
        <v>73</v>
      </c>
      <c r="C730" s="45">
        <v>30</v>
      </c>
      <c r="D730" s="45">
        <v>2.64</v>
      </c>
      <c r="E730" s="45">
        <v>0.48</v>
      </c>
      <c r="F730" s="45">
        <v>13.36</v>
      </c>
      <c r="G730" s="45">
        <v>69.599999999999994</v>
      </c>
      <c r="H730" s="45">
        <v>7.0000000000000007E-2</v>
      </c>
      <c r="I730" s="45">
        <v>0</v>
      </c>
      <c r="J730" s="45">
        <v>0</v>
      </c>
      <c r="K730" s="45">
        <v>0.56000000000000005</v>
      </c>
      <c r="L730" s="45">
        <v>14</v>
      </c>
      <c r="M730" s="45">
        <v>63.2</v>
      </c>
      <c r="N730" s="45">
        <v>18.8</v>
      </c>
      <c r="O730" s="45">
        <v>1.56</v>
      </c>
    </row>
    <row r="731" spans="1:15" s="7" customFormat="1" ht="15.75" x14ac:dyDescent="0.25">
      <c r="A731" s="44"/>
      <c r="B731" s="44" t="s">
        <v>379</v>
      </c>
      <c r="C731" s="44"/>
      <c r="D731" s="48">
        <f>D732+D739+D745+D749+D753+D754+D755</f>
        <v>26.705000000000002</v>
      </c>
      <c r="E731" s="48">
        <f t="shared" ref="E731:O731" si="36">E732+E739+E745+E749+E753+E754+E755</f>
        <v>19.535</v>
      </c>
      <c r="F731" s="48">
        <f t="shared" si="36"/>
        <v>107.895</v>
      </c>
      <c r="G731" s="48">
        <f t="shared" si="36"/>
        <v>715.66</v>
      </c>
      <c r="H731" s="48">
        <f t="shared" si="36"/>
        <v>0.36749999999999999</v>
      </c>
      <c r="I731" s="48">
        <f t="shared" si="36"/>
        <v>8.5250000000000004</v>
      </c>
      <c r="J731" s="48">
        <f t="shared" si="36"/>
        <v>55.42</v>
      </c>
      <c r="K731" s="48">
        <f t="shared" si="36"/>
        <v>4.05</v>
      </c>
      <c r="L731" s="48">
        <f t="shared" si="36"/>
        <v>125.67500000000001</v>
      </c>
      <c r="M731" s="48">
        <f t="shared" si="36"/>
        <v>477.05500000000001</v>
      </c>
      <c r="N731" s="48">
        <f t="shared" si="36"/>
        <v>105.715</v>
      </c>
      <c r="O731" s="48">
        <f t="shared" si="36"/>
        <v>6.7674999999999992</v>
      </c>
    </row>
    <row r="732" spans="1:15" ht="31.5" x14ac:dyDescent="0.25">
      <c r="A732" s="45">
        <v>116</v>
      </c>
      <c r="B732" s="44" t="s">
        <v>194</v>
      </c>
      <c r="C732" s="45">
        <v>250</v>
      </c>
      <c r="D732" s="45">
        <f>10.7/1000*250</f>
        <v>2.6749999999999998</v>
      </c>
      <c r="E732" s="45">
        <v>2.57</v>
      </c>
      <c r="F732" s="45">
        <v>16.75</v>
      </c>
      <c r="G732" s="45">
        <v>100.75</v>
      </c>
      <c r="H732" s="45">
        <f>0.42/1000*250</f>
        <v>0.105</v>
      </c>
      <c r="I732" s="45">
        <f>31.1/1000*250</f>
        <v>7.7750000000000004</v>
      </c>
      <c r="J732" s="45">
        <v>1.7</v>
      </c>
      <c r="K732" s="45">
        <v>1.37</v>
      </c>
      <c r="L732" s="45">
        <f>91.6/1000*250</f>
        <v>22.9</v>
      </c>
      <c r="M732" s="45">
        <v>66.400000000000006</v>
      </c>
      <c r="N732" s="45">
        <v>24.32</v>
      </c>
      <c r="O732" s="45">
        <v>1.08</v>
      </c>
    </row>
    <row r="733" spans="1:15" ht="15.75" x14ac:dyDescent="0.25">
      <c r="A733" s="45"/>
      <c r="B733" s="45" t="s">
        <v>36</v>
      </c>
      <c r="C733" s="45">
        <v>10.07</v>
      </c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</row>
    <row r="734" spans="1:15" ht="15.75" x14ac:dyDescent="0.25">
      <c r="A734" s="45"/>
      <c r="B734" s="45" t="s">
        <v>37</v>
      </c>
      <c r="C734" s="45">
        <v>9.75</v>
      </c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</row>
    <row r="735" spans="1:15" ht="15.75" x14ac:dyDescent="0.25">
      <c r="A735" s="45"/>
      <c r="B735" s="45" t="s">
        <v>47</v>
      </c>
      <c r="C735" s="45">
        <v>2</v>
      </c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</row>
    <row r="736" spans="1:15" ht="15.75" x14ac:dyDescent="0.25">
      <c r="A736" s="45"/>
      <c r="B736" s="45" t="s">
        <v>123</v>
      </c>
      <c r="C736" s="45">
        <v>12.5</v>
      </c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</row>
    <row r="737" spans="1:15" ht="15.75" x14ac:dyDescent="0.25">
      <c r="A737" s="45"/>
      <c r="B737" s="45" t="s">
        <v>77</v>
      </c>
      <c r="C737" s="45">
        <v>50.05</v>
      </c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</row>
    <row r="738" spans="1:15" ht="15.75" x14ac:dyDescent="0.25">
      <c r="A738" s="45"/>
      <c r="B738" s="45" t="s">
        <v>41</v>
      </c>
      <c r="C738" s="45">
        <v>2.5</v>
      </c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</row>
    <row r="739" spans="1:15" ht="15.75" x14ac:dyDescent="0.25">
      <c r="A739" s="45">
        <v>344</v>
      </c>
      <c r="B739" s="44" t="s">
        <v>195</v>
      </c>
      <c r="C739" s="45">
        <v>80</v>
      </c>
      <c r="D739" s="47">
        <f>15.6/100*80</f>
        <v>12.48</v>
      </c>
      <c r="E739" s="45">
        <f>12.4/100*80</f>
        <v>9.92</v>
      </c>
      <c r="F739" s="45">
        <f>6.6/100*80</f>
        <v>5.28</v>
      </c>
      <c r="G739" s="45">
        <f>200/100*80</f>
        <v>160</v>
      </c>
      <c r="H739" s="45">
        <f>0.06/100*80</f>
        <v>4.7999999999999994E-2</v>
      </c>
      <c r="I739" s="45">
        <v>0</v>
      </c>
      <c r="J739" s="45">
        <f>28.4/100*80</f>
        <v>22.72</v>
      </c>
      <c r="K739" s="45">
        <f>0.5/100*80</f>
        <v>0.4</v>
      </c>
      <c r="L739" s="45">
        <f>17.1/100*80</f>
        <v>13.680000000000001</v>
      </c>
      <c r="M739" s="45">
        <f>165.4/100*80</f>
        <v>132.32000000000002</v>
      </c>
      <c r="N739" s="45">
        <f>19.3/100*80</f>
        <v>15.440000000000001</v>
      </c>
      <c r="O739" s="45">
        <f>2.43/100*80</f>
        <v>1.9440000000000002</v>
      </c>
    </row>
    <row r="740" spans="1:15" ht="15.75" x14ac:dyDescent="0.25">
      <c r="A740" s="45"/>
      <c r="B740" s="45" t="s">
        <v>41</v>
      </c>
      <c r="C740" s="45">
        <f>2/100*80</f>
        <v>1.6</v>
      </c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</row>
    <row r="741" spans="1:15" ht="15.75" x14ac:dyDescent="0.25">
      <c r="A741" s="45"/>
      <c r="B741" s="45" t="s">
        <v>133</v>
      </c>
      <c r="C741" s="45">
        <f>75/100*80</f>
        <v>60</v>
      </c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</row>
    <row r="742" spans="1:15" ht="15.75" x14ac:dyDescent="0.25">
      <c r="A742" s="45"/>
      <c r="B742" s="45" t="s">
        <v>47</v>
      </c>
      <c r="C742" s="45">
        <f>0.4/100*80</f>
        <v>0.32</v>
      </c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</row>
    <row r="743" spans="1:15" ht="15.75" x14ac:dyDescent="0.25">
      <c r="A743" s="45"/>
      <c r="B743" s="45" t="s">
        <v>96</v>
      </c>
      <c r="C743" s="45">
        <f>11.3/100*80</f>
        <v>9.0400000000000009</v>
      </c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</row>
    <row r="744" spans="1:15" ht="15.75" x14ac:dyDescent="0.25">
      <c r="A744" s="45"/>
      <c r="B744" s="45" t="s">
        <v>27</v>
      </c>
      <c r="C744" s="45">
        <f>14/100*80</f>
        <v>11.200000000000001</v>
      </c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</row>
    <row r="745" spans="1:15" ht="15.75" x14ac:dyDescent="0.25">
      <c r="A745" s="45">
        <v>208</v>
      </c>
      <c r="B745" s="44" t="s">
        <v>196</v>
      </c>
      <c r="C745" s="45">
        <v>150</v>
      </c>
      <c r="D745" s="45">
        <f>32.6/1000*150</f>
        <v>4.8900000000000006</v>
      </c>
      <c r="E745" s="45">
        <f>33.3/1000*150</f>
        <v>4.9949999999999992</v>
      </c>
      <c r="F745" s="45">
        <f>207.5/1000*150</f>
        <v>31.125</v>
      </c>
      <c r="G745" s="45">
        <f>1260/1000*150</f>
        <v>189</v>
      </c>
      <c r="H745" s="45">
        <f>0.63/1000*150</f>
        <v>9.4500000000000001E-2</v>
      </c>
      <c r="I745" s="45">
        <v>0</v>
      </c>
      <c r="J745" s="45">
        <f>160/1000*150</f>
        <v>24</v>
      </c>
      <c r="K745" s="45">
        <f>5.4/1000*150</f>
        <v>0.81</v>
      </c>
      <c r="L745" s="45">
        <f>293.1/1000*150</f>
        <v>43.965000000000003</v>
      </c>
      <c r="M745" s="45">
        <f>1125.1/1000*150</f>
        <v>168.76499999999999</v>
      </c>
      <c r="N745" s="45">
        <f>163.1/1000*150</f>
        <v>24.465</v>
      </c>
      <c r="O745" s="45">
        <f>6.09/1000*150</f>
        <v>0.91349999999999998</v>
      </c>
    </row>
    <row r="746" spans="1:15" ht="15.75" x14ac:dyDescent="0.25">
      <c r="A746" s="45"/>
      <c r="B746" s="45" t="s">
        <v>152</v>
      </c>
      <c r="C746" s="45">
        <f>329/1000*150</f>
        <v>49.35</v>
      </c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</row>
    <row r="747" spans="1:15" ht="15.75" x14ac:dyDescent="0.25">
      <c r="A747" s="45"/>
      <c r="B747" s="45" t="s">
        <v>47</v>
      </c>
      <c r="C747" s="45">
        <v>1</v>
      </c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</row>
    <row r="748" spans="1:15" ht="15.75" x14ac:dyDescent="0.25">
      <c r="A748" s="45"/>
      <c r="B748" s="45" t="s">
        <v>23</v>
      </c>
      <c r="C748" s="45">
        <f>40/1000*150</f>
        <v>6</v>
      </c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</row>
    <row r="749" spans="1:15" ht="15.75" x14ac:dyDescent="0.25">
      <c r="A749" s="45">
        <v>495</v>
      </c>
      <c r="B749" s="44" t="s">
        <v>323</v>
      </c>
      <c r="C749" s="45">
        <v>200</v>
      </c>
      <c r="D749" s="45">
        <v>0.6</v>
      </c>
      <c r="E749" s="45">
        <v>0.1</v>
      </c>
      <c r="F749" s="45">
        <v>20.100000000000001</v>
      </c>
      <c r="G749" s="45">
        <v>84</v>
      </c>
      <c r="H749" s="45">
        <v>0.01</v>
      </c>
      <c r="I749" s="45">
        <v>0.2</v>
      </c>
      <c r="J749" s="45">
        <v>0</v>
      </c>
      <c r="K749" s="45">
        <v>0.4</v>
      </c>
      <c r="L749" s="45">
        <v>20.100000000000001</v>
      </c>
      <c r="M749" s="45">
        <v>19.2</v>
      </c>
      <c r="N749" s="45">
        <v>14.4</v>
      </c>
      <c r="O749" s="45">
        <v>0.69</v>
      </c>
    </row>
    <row r="750" spans="1:15" ht="15.75" x14ac:dyDescent="0.25">
      <c r="A750" s="45"/>
      <c r="B750" s="45" t="s">
        <v>158</v>
      </c>
      <c r="C750" s="45">
        <v>20</v>
      </c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</row>
    <row r="751" spans="1:15" ht="15.75" x14ac:dyDescent="0.25">
      <c r="A751" s="45"/>
      <c r="B751" s="45" t="s">
        <v>42</v>
      </c>
      <c r="C751" s="45">
        <v>10</v>
      </c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</row>
    <row r="752" spans="1:15" ht="15.75" x14ac:dyDescent="0.25">
      <c r="A752" s="45"/>
      <c r="B752" s="45" t="s">
        <v>22</v>
      </c>
      <c r="C752" s="45">
        <v>10</v>
      </c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</row>
    <row r="753" spans="1:15" ht="15.75" x14ac:dyDescent="0.25">
      <c r="A753" s="45"/>
      <c r="B753" s="44" t="s">
        <v>107</v>
      </c>
      <c r="C753" s="45">
        <v>40</v>
      </c>
      <c r="D753" s="45">
        <v>3.04</v>
      </c>
      <c r="E753" s="45">
        <v>0.32</v>
      </c>
      <c r="F753" s="45">
        <v>19.68</v>
      </c>
      <c r="G753" s="45">
        <v>94</v>
      </c>
      <c r="H753" s="45">
        <v>0.04</v>
      </c>
      <c r="I753" s="45">
        <v>0</v>
      </c>
      <c r="J753" s="45">
        <v>0</v>
      </c>
      <c r="K753" s="45">
        <v>0.44</v>
      </c>
      <c r="L753" s="45">
        <v>8</v>
      </c>
      <c r="M753" s="45">
        <v>26</v>
      </c>
      <c r="N753" s="45">
        <v>5.6</v>
      </c>
      <c r="O753" s="45">
        <v>0.44</v>
      </c>
    </row>
    <row r="754" spans="1:15" ht="15.75" x14ac:dyDescent="0.25">
      <c r="A754" s="45"/>
      <c r="B754" s="44" t="s">
        <v>73</v>
      </c>
      <c r="C754" s="45">
        <v>30</v>
      </c>
      <c r="D754" s="45">
        <v>2.64</v>
      </c>
      <c r="E754" s="45">
        <v>0.48</v>
      </c>
      <c r="F754" s="45">
        <v>13.36</v>
      </c>
      <c r="G754" s="45">
        <v>69.599999999999994</v>
      </c>
      <c r="H754" s="45">
        <v>7.0000000000000007E-2</v>
      </c>
      <c r="I754" s="45">
        <v>0</v>
      </c>
      <c r="J754" s="45">
        <v>0</v>
      </c>
      <c r="K754" s="45">
        <v>0.56000000000000005</v>
      </c>
      <c r="L754" s="45">
        <v>14</v>
      </c>
      <c r="M754" s="45">
        <v>63.2</v>
      </c>
      <c r="N754" s="45">
        <v>18.8</v>
      </c>
      <c r="O754" s="45">
        <v>1.56</v>
      </c>
    </row>
    <row r="755" spans="1:15" ht="15.75" x14ac:dyDescent="0.25">
      <c r="A755" s="45">
        <v>419</v>
      </c>
      <c r="B755" s="44" t="s">
        <v>197</v>
      </c>
      <c r="C755" s="45">
        <v>35</v>
      </c>
      <c r="D755" s="45">
        <v>0.38</v>
      </c>
      <c r="E755" s="45">
        <v>1.1499999999999999</v>
      </c>
      <c r="F755" s="45">
        <v>1.6</v>
      </c>
      <c r="G755" s="45">
        <v>18.309999999999999</v>
      </c>
      <c r="H755" s="45">
        <v>0</v>
      </c>
      <c r="I755" s="45">
        <v>0.55000000000000004</v>
      </c>
      <c r="J755" s="45">
        <v>7</v>
      </c>
      <c r="K755" s="45">
        <v>7.0000000000000007E-2</v>
      </c>
      <c r="L755" s="45">
        <v>3.03</v>
      </c>
      <c r="M755" s="45">
        <v>1.17</v>
      </c>
      <c r="N755" s="45">
        <v>2.69</v>
      </c>
      <c r="O755" s="45">
        <v>0.14000000000000001</v>
      </c>
    </row>
    <row r="756" spans="1:15" ht="15.75" x14ac:dyDescent="0.25">
      <c r="A756" s="45"/>
      <c r="B756" s="45" t="s">
        <v>34</v>
      </c>
      <c r="C756" s="45">
        <v>5.25</v>
      </c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</row>
    <row r="757" spans="1:15" ht="15.75" x14ac:dyDescent="0.25">
      <c r="A757" s="45"/>
      <c r="B757" s="45" t="s">
        <v>22</v>
      </c>
      <c r="C757" s="45">
        <v>0.63</v>
      </c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</row>
    <row r="758" spans="1:15" ht="15.75" x14ac:dyDescent="0.25">
      <c r="A758" s="45"/>
      <c r="B758" s="45" t="s">
        <v>23</v>
      </c>
      <c r="C758" s="47">
        <v>1.75</v>
      </c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</row>
    <row r="759" spans="1:15" ht="15.75" x14ac:dyDescent="0.25">
      <c r="A759" s="45"/>
      <c r="B759" s="45" t="s">
        <v>46</v>
      </c>
      <c r="C759" s="45">
        <v>1.75</v>
      </c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</row>
    <row r="760" spans="1:15" s="7" customFormat="1" ht="15.75" x14ac:dyDescent="0.25">
      <c r="A760" s="44"/>
      <c r="B760" s="44" t="s">
        <v>347</v>
      </c>
      <c r="C760" s="44"/>
      <c r="D760" s="44">
        <f>D761+D762</f>
        <v>2.77</v>
      </c>
      <c r="E760" s="44">
        <f t="shared" ref="E760:O760" si="37">E761+E762</f>
        <v>1.41</v>
      </c>
      <c r="F760" s="44">
        <f t="shared" si="37"/>
        <v>22.5</v>
      </c>
      <c r="G760" s="44">
        <f t="shared" si="37"/>
        <v>219.8</v>
      </c>
      <c r="H760" s="44">
        <f t="shared" si="37"/>
        <v>0.06</v>
      </c>
      <c r="I760" s="44">
        <f t="shared" si="37"/>
        <v>8</v>
      </c>
      <c r="J760" s="44">
        <f t="shared" si="37"/>
        <v>0</v>
      </c>
      <c r="K760" s="44">
        <f t="shared" si="37"/>
        <v>0.72</v>
      </c>
      <c r="L760" s="44">
        <f t="shared" si="37"/>
        <v>403.3</v>
      </c>
      <c r="M760" s="44">
        <f t="shared" si="37"/>
        <v>15</v>
      </c>
      <c r="N760" s="44">
        <f t="shared" si="37"/>
        <v>2.7</v>
      </c>
      <c r="O760" s="44">
        <f t="shared" si="37"/>
        <v>0.64</v>
      </c>
    </row>
    <row r="761" spans="1:15" ht="15.75" x14ac:dyDescent="0.25">
      <c r="A761" s="45"/>
      <c r="B761" s="44" t="s">
        <v>64</v>
      </c>
      <c r="C761" s="45">
        <v>30</v>
      </c>
      <c r="D761" s="45">
        <v>1.77</v>
      </c>
      <c r="E761" s="45">
        <v>1.41</v>
      </c>
      <c r="F761" s="45">
        <v>22.5</v>
      </c>
      <c r="G761" s="45">
        <v>109.8</v>
      </c>
      <c r="H761" s="45">
        <v>0.02</v>
      </c>
      <c r="I761" s="45">
        <v>0</v>
      </c>
      <c r="J761" s="45">
        <v>0</v>
      </c>
      <c r="K761" s="45">
        <v>0.72</v>
      </c>
      <c r="L761" s="45">
        <v>3.3</v>
      </c>
      <c r="M761" s="45">
        <v>15</v>
      </c>
      <c r="N761" s="45">
        <v>2.7</v>
      </c>
      <c r="O761" s="45">
        <v>0.24</v>
      </c>
    </row>
    <row r="762" spans="1:15" ht="15.75" x14ac:dyDescent="0.25">
      <c r="A762" s="45"/>
      <c r="B762" s="44" t="s">
        <v>137</v>
      </c>
      <c r="C762" s="45">
        <v>200</v>
      </c>
      <c r="D762" s="45">
        <v>1</v>
      </c>
      <c r="E762" s="45">
        <v>0</v>
      </c>
      <c r="F762" s="45">
        <v>0</v>
      </c>
      <c r="G762" s="45">
        <v>110</v>
      </c>
      <c r="H762" s="45">
        <v>0.04</v>
      </c>
      <c r="I762" s="45">
        <v>8</v>
      </c>
      <c r="J762" s="45">
        <v>0</v>
      </c>
      <c r="K762" s="45">
        <v>0</v>
      </c>
      <c r="L762" s="45">
        <v>400</v>
      </c>
      <c r="M762" s="45">
        <v>0</v>
      </c>
      <c r="N762" s="45">
        <v>0</v>
      </c>
      <c r="O762" s="45">
        <v>0.4</v>
      </c>
    </row>
    <row r="763" spans="1:15" ht="15.75" x14ac:dyDescent="0.25">
      <c r="A763" s="45"/>
      <c r="B763" s="45" t="s">
        <v>198</v>
      </c>
      <c r="C763" s="45">
        <v>200</v>
      </c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</row>
    <row r="764" spans="1:15" s="7" customFormat="1" ht="15.75" x14ac:dyDescent="0.25">
      <c r="A764" s="44"/>
      <c r="B764" s="44" t="s">
        <v>66</v>
      </c>
      <c r="C764" s="44"/>
      <c r="D764" s="48">
        <f t="shared" ref="D764:O764" si="38">D687+D708+D731+D760</f>
        <v>100.75999999999999</v>
      </c>
      <c r="E764" s="48">
        <f t="shared" si="38"/>
        <v>57.16</v>
      </c>
      <c r="F764" s="48">
        <f t="shared" si="38"/>
        <v>303.44499999999999</v>
      </c>
      <c r="G764" s="48">
        <f t="shared" si="38"/>
        <v>2241.13</v>
      </c>
      <c r="H764" s="48">
        <f t="shared" si="38"/>
        <v>1.1375</v>
      </c>
      <c r="I764" s="48">
        <f t="shared" si="38"/>
        <v>45.145000000000003</v>
      </c>
      <c r="J764" s="48">
        <f t="shared" si="38"/>
        <v>142.42000000000002</v>
      </c>
      <c r="K764" s="48">
        <f t="shared" si="38"/>
        <v>12.270000000000001</v>
      </c>
      <c r="L764" s="48">
        <f t="shared" si="38"/>
        <v>1021.0550000000001</v>
      </c>
      <c r="M764" s="48">
        <f t="shared" si="38"/>
        <v>1488.0050000000001</v>
      </c>
      <c r="N764" s="48">
        <f t="shared" si="38"/>
        <v>316.55</v>
      </c>
      <c r="O764" s="48">
        <f t="shared" si="38"/>
        <v>20.037500000000001</v>
      </c>
    </row>
    <row r="765" spans="1:15" ht="15.75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</row>
    <row r="766" spans="1:15" ht="18" x14ac:dyDescent="0.25">
      <c r="A766" s="1" t="s">
        <v>199</v>
      </c>
    </row>
    <row r="768" spans="1:15" ht="15.75" x14ac:dyDescent="0.25">
      <c r="A768" s="2" t="s">
        <v>19</v>
      </c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</row>
    <row r="769" spans="1:15" ht="15" x14ac:dyDescent="0.2">
      <c r="A769" s="62" t="s">
        <v>17</v>
      </c>
      <c r="B769" s="61" t="s">
        <v>0</v>
      </c>
      <c r="C769" s="61" t="s">
        <v>1</v>
      </c>
      <c r="D769" s="63" t="s">
        <v>9</v>
      </c>
      <c r="E769" s="64"/>
      <c r="F769" s="65"/>
      <c r="G769" s="61" t="s">
        <v>10</v>
      </c>
      <c r="H769" s="61" t="s">
        <v>7</v>
      </c>
      <c r="I769" s="61"/>
      <c r="J769" s="61"/>
      <c r="K769" s="61"/>
      <c r="L769" s="61" t="s">
        <v>8</v>
      </c>
      <c r="M769" s="61"/>
      <c r="N769" s="61"/>
      <c r="O769" s="61"/>
    </row>
    <row r="770" spans="1:15" ht="30" x14ac:dyDescent="0.2">
      <c r="A770" s="62"/>
      <c r="B770" s="61"/>
      <c r="C770" s="61"/>
      <c r="D770" s="41" t="s">
        <v>2</v>
      </c>
      <c r="E770" s="42" t="s">
        <v>3</v>
      </c>
      <c r="F770" s="42" t="s">
        <v>4</v>
      </c>
      <c r="G770" s="61"/>
      <c r="H770" s="42" t="s">
        <v>11</v>
      </c>
      <c r="I770" s="42" t="s">
        <v>12</v>
      </c>
      <c r="J770" s="42" t="s">
        <v>13</v>
      </c>
      <c r="K770" s="42" t="s">
        <v>5</v>
      </c>
      <c r="L770" s="43" t="s">
        <v>14</v>
      </c>
      <c r="M770" s="42" t="s">
        <v>15</v>
      </c>
      <c r="N770" s="42" t="s">
        <v>6</v>
      </c>
      <c r="O770" s="42" t="s">
        <v>16</v>
      </c>
    </row>
    <row r="771" spans="1:15" ht="15.75" x14ac:dyDescent="0.25">
      <c r="A771" s="44"/>
      <c r="B771" s="44" t="s">
        <v>344</v>
      </c>
      <c r="C771" s="44"/>
      <c r="D771" s="44">
        <f>D772+D777+D781+D782+D783</f>
        <v>16.02</v>
      </c>
      <c r="E771" s="44">
        <f t="shared" ref="E771:O771" si="39">E772+E777+E781+E782+E783</f>
        <v>10.719999999999999</v>
      </c>
      <c r="F771" s="44">
        <f t="shared" si="39"/>
        <v>91.46</v>
      </c>
      <c r="G771" s="44">
        <f t="shared" si="39"/>
        <v>319.08</v>
      </c>
      <c r="H771" s="44">
        <f t="shared" si="39"/>
        <v>0.25800000000000001</v>
      </c>
      <c r="I771" s="44">
        <f t="shared" si="39"/>
        <v>40.14</v>
      </c>
      <c r="J771" s="44">
        <f t="shared" si="39"/>
        <v>60</v>
      </c>
      <c r="K771" s="44">
        <f t="shared" si="39"/>
        <v>1.43</v>
      </c>
      <c r="L771" s="44">
        <f t="shared" si="39"/>
        <v>307.18</v>
      </c>
      <c r="M771" s="44">
        <f t="shared" si="39"/>
        <v>362.59999999999997</v>
      </c>
      <c r="N771" s="44">
        <f t="shared" si="39"/>
        <v>94.919999999999987</v>
      </c>
      <c r="O771" s="44">
        <f t="shared" si="39"/>
        <v>2.8960000000000004</v>
      </c>
    </row>
    <row r="772" spans="1:15" ht="31.5" x14ac:dyDescent="0.25">
      <c r="A772" s="45">
        <v>217</v>
      </c>
      <c r="B772" s="44" t="s">
        <v>200</v>
      </c>
      <c r="C772" s="45">
        <v>200</v>
      </c>
      <c r="D772" s="45">
        <f>31.2/1000*200</f>
        <v>6.2399999999999993</v>
      </c>
      <c r="E772" s="45">
        <f>34.1/1000*200</f>
        <v>6.8199999999999994</v>
      </c>
      <c r="F772" s="45">
        <f>185.6/1000*200</f>
        <v>37.119999999999997</v>
      </c>
      <c r="G772" s="45">
        <f>1174/1000*20</f>
        <v>23.479999999999997</v>
      </c>
      <c r="H772" s="45">
        <f>0.29/1000*200</f>
        <v>5.8000000000000003E-2</v>
      </c>
      <c r="I772" s="45">
        <f>7.2/1000*200</f>
        <v>1.44</v>
      </c>
      <c r="J772" s="45">
        <f>205/1000*200</f>
        <v>41</v>
      </c>
      <c r="K772" s="45">
        <f>1.1/1000*200</f>
        <v>0.22</v>
      </c>
      <c r="L772" s="45">
        <f>694.4/1000*200</f>
        <v>138.88</v>
      </c>
      <c r="M772" s="45">
        <f>826.5/1000*200</f>
        <v>165.3</v>
      </c>
      <c r="N772" s="45">
        <f>186.1/1000*200</f>
        <v>37.22</v>
      </c>
      <c r="O772" s="45">
        <f>0.73/1000*200</f>
        <v>0.14599999999999999</v>
      </c>
    </row>
    <row r="773" spans="1:15" ht="15.75" x14ac:dyDescent="0.25">
      <c r="A773" s="45"/>
      <c r="B773" s="45" t="s">
        <v>44</v>
      </c>
      <c r="C773" s="45">
        <f>220/1000*200</f>
        <v>44</v>
      </c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</row>
    <row r="774" spans="1:15" ht="15.75" x14ac:dyDescent="0.25">
      <c r="A774" s="45"/>
      <c r="B774" s="45" t="s">
        <v>22</v>
      </c>
      <c r="C774" s="45">
        <v>5</v>
      </c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</row>
    <row r="775" spans="1:15" ht="15.75" x14ac:dyDescent="0.25">
      <c r="A775" s="45"/>
      <c r="B775" s="45" t="s">
        <v>23</v>
      </c>
      <c r="C775" s="45">
        <v>5</v>
      </c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</row>
    <row r="776" spans="1:15" ht="15.75" x14ac:dyDescent="0.25">
      <c r="A776" s="45"/>
      <c r="B776" s="45" t="s">
        <v>25</v>
      </c>
      <c r="C776" s="45">
        <f>550/1000*200</f>
        <v>110.00000000000001</v>
      </c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</row>
    <row r="777" spans="1:15" ht="15.75" x14ac:dyDescent="0.25">
      <c r="A777" s="45">
        <v>462</v>
      </c>
      <c r="B777" s="44" t="s">
        <v>99</v>
      </c>
      <c r="C777" s="45">
        <v>200</v>
      </c>
      <c r="D777" s="45">
        <v>3.3</v>
      </c>
      <c r="E777" s="45">
        <v>2.9</v>
      </c>
      <c r="F777" s="45">
        <v>13.8</v>
      </c>
      <c r="G777" s="45">
        <v>94</v>
      </c>
      <c r="H777" s="45">
        <v>0.03</v>
      </c>
      <c r="I777" s="45">
        <v>0.7</v>
      </c>
      <c r="J777" s="45">
        <v>19</v>
      </c>
      <c r="K777" s="45">
        <v>0.01</v>
      </c>
      <c r="L777" s="45">
        <v>111.3</v>
      </c>
      <c r="M777" s="45">
        <v>91.1</v>
      </c>
      <c r="N777" s="45">
        <v>22.3</v>
      </c>
      <c r="O777" s="45">
        <v>0.65</v>
      </c>
    </row>
    <row r="778" spans="1:15" ht="15.75" x14ac:dyDescent="0.25">
      <c r="A778" s="45"/>
      <c r="B778" s="45" t="s">
        <v>22</v>
      </c>
      <c r="C778" s="45">
        <v>10</v>
      </c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</row>
    <row r="779" spans="1:15" ht="15.75" x14ac:dyDescent="0.25">
      <c r="A779" s="45"/>
      <c r="B779" s="45" t="s">
        <v>201</v>
      </c>
      <c r="C779" s="45">
        <v>2.4</v>
      </c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</row>
    <row r="780" spans="1:15" ht="15.75" x14ac:dyDescent="0.25">
      <c r="A780" s="45"/>
      <c r="B780" s="45" t="s">
        <v>25</v>
      </c>
      <c r="C780" s="45">
        <v>100</v>
      </c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</row>
    <row r="781" spans="1:15" ht="15.75" x14ac:dyDescent="0.25">
      <c r="A781" s="45"/>
      <c r="B781" s="44" t="s">
        <v>107</v>
      </c>
      <c r="C781" s="45">
        <v>40</v>
      </c>
      <c r="D781" s="45">
        <v>3.04</v>
      </c>
      <c r="E781" s="45">
        <v>0.32</v>
      </c>
      <c r="F781" s="45">
        <v>19.68</v>
      </c>
      <c r="G781" s="45">
        <v>94</v>
      </c>
      <c r="H781" s="45">
        <v>0.04</v>
      </c>
      <c r="I781" s="45">
        <v>0</v>
      </c>
      <c r="J781" s="45">
        <v>0</v>
      </c>
      <c r="K781" s="45">
        <v>0.44</v>
      </c>
      <c r="L781" s="45">
        <v>8</v>
      </c>
      <c r="M781" s="45">
        <v>26</v>
      </c>
      <c r="N781" s="45">
        <v>5.6</v>
      </c>
      <c r="O781" s="45">
        <v>0.44</v>
      </c>
    </row>
    <row r="782" spans="1:15" ht="15.75" x14ac:dyDescent="0.25">
      <c r="A782" s="45"/>
      <c r="B782" s="44" t="s">
        <v>73</v>
      </c>
      <c r="C782" s="45">
        <v>30</v>
      </c>
      <c r="D782" s="45">
        <v>2.64</v>
      </c>
      <c r="E782" s="45">
        <v>0.48</v>
      </c>
      <c r="F782" s="45">
        <v>13.36</v>
      </c>
      <c r="G782" s="45">
        <v>69.599999999999994</v>
      </c>
      <c r="H782" s="45">
        <v>7.0000000000000007E-2</v>
      </c>
      <c r="I782" s="45">
        <v>0</v>
      </c>
      <c r="J782" s="45">
        <v>0</v>
      </c>
      <c r="K782" s="45">
        <v>0.56000000000000005</v>
      </c>
      <c r="L782" s="45">
        <v>14</v>
      </c>
      <c r="M782" s="45">
        <v>63.2</v>
      </c>
      <c r="N782" s="45">
        <v>18.8</v>
      </c>
      <c r="O782" s="45">
        <v>1.56</v>
      </c>
    </row>
    <row r="783" spans="1:15" ht="15.75" x14ac:dyDescent="0.25">
      <c r="A783" s="45">
        <v>112</v>
      </c>
      <c r="B783" s="44" t="s">
        <v>145</v>
      </c>
      <c r="C783" s="45">
        <v>150</v>
      </c>
      <c r="D783" s="45">
        <v>0.8</v>
      </c>
      <c r="E783" s="45">
        <v>0.2</v>
      </c>
      <c r="F783" s="45">
        <v>7.5</v>
      </c>
      <c r="G783" s="45">
        <v>38</v>
      </c>
      <c r="H783" s="45">
        <v>0.06</v>
      </c>
      <c r="I783" s="45">
        <v>38</v>
      </c>
      <c r="J783" s="45">
        <v>0</v>
      </c>
      <c r="K783" s="45">
        <v>0.2</v>
      </c>
      <c r="L783" s="45">
        <v>35</v>
      </c>
      <c r="M783" s="45">
        <v>17</v>
      </c>
      <c r="N783" s="45">
        <v>11</v>
      </c>
      <c r="O783" s="45">
        <v>0.1</v>
      </c>
    </row>
    <row r="784" spans="1:15" s="7" customFormat="1" ht="15.75" x14ac:dyDescent="0.25">
      <c r="A784" s="44"/>
      <c r="B784" s="44" t="s">
        <v>354</v>
      </c>
      <c r="C784" s="44"/>
      <c r="D784" s="44">
        <f t="shared" ref="D784:O784" si="40">D785+D790+D796+D803+D808+D811+D814+D815</f>
        <v>28.615000000000002</v>
      </c>
      <c r="E784" s="44">
        <f t="shared" si="40"/>
        <v>21.430000000000003</v>
      </c>
      <c r="F784" s="44">
        <f t="shared" si="40"/>
        <v>88.524999999999991</v>
      </c>
      <c r="G784" s="44">
        <f t="shared" si="40"/>
        <v>664.31000000000006</v>
      </c>
      <c r="H784" s="44">
        <f t="shared" si="40"/>
        <v>0.47149999999999997</v>
      </c>
      <c r="I784" s="44">
        <f t="shared" si="40"/>
        <v>13.720000000000002</v>
      </c>
      <c r="J784" s="44">
        <f t="shared" si="40"/>
        <v>421.78099999999995</v>
      </c>
      <c r="K784" s="44">
        <f t="shared" si="40"/>
        <v>6.7050000000000001</v>
      </c>
      <c r="L784" s="44">
        <f t="shared" si="40"/>
        <v>228.95</v>
      </c>
      <c r="M784" s="44">
        <f t="shared" si="40"/>
        <v>496.25499999999994</v>
      </c>
      <c r="N784" s="44">
        <f t="shared" si="40"/>
        <v>110.54999999999998</v>
      </c>
      <c r="O784" s="44">
        <f t="shared" si="40"/>
        <v>9.8280000000000012</v>
      </c>
    </row>
    <row r="785" spans="1:15" ht="15.75" x14ac:dyDescent="0.25">
      <c r="A785" s="45">
        <v>32</v>
      </c>
      <c r="B785" s="44" t="s">
        <v>338</v>
      </c>
      <c r="C785" s="45">
        <v>60</v>
      </c>
      <c r="D785" s="45">
        <f>3.1/100*60</f>
        <v>1.8599999999999999</v>
      </c>
      <c r="E785" s="45">
        <f>8.4/100*60</f>
        <v>5.04</v>
      </c>
      <c r="F785" s="45">
        <f>7/100*60</f>
        <v>4.2</v>
      </c>
      <c r="G785" s="45">
        <f>116/100*60</f>
        <v>69.599999999999994</v>
      </c>
      <c r="H785" s="45">
        <f>0.02/100*60</f>
        <v>1.2E-2</v>
      </c>
      <c r="I785" s="45">
        <f>4.9/100*60</f>
        <v>2.94</v>
      </c>
      <c r="J785" s="45">
        <f>20.2/100*60</f>
        <v>12.12</v>
      </c>
      <c r="K785" s="45">
        <f>3.6/100*60</f>
        <v>2.16</v>
      </c>
      <c r="L785" s="45">
        <f>100.1/100*60</f>
        <v>60.059999999999995</v>
      </c>
      <c r="M785" s="45">
        <f>74.3/100*60</f>
        <v>44.58</v>
      </c>
      <c r="N785" s="45">
        <f>20.8/100*60</f>
        <v>12.48</v>
      </c>
      <c r="O785" s="45">
        <f>1.27/100*60</f>
        <v>0.76200000000000001</v>
      </c>
    </row>
    <row r="786" spans="1:15" ht="15.75" x14ac:dyDescent="0.25">
      <c r="A786" s="45"/>
      <c r="B786" s="45" t="s">
        <v>33</v>
      </c>
      <c r="C786" s="45">
        <f>88/100*60</f>
        <v>52.8</v>
      </c>
      <c r="D786" s="45"/>
      <c r="E786" s="45"/>
      <c r="F786" s="45"/>
      <c r="G786" s="45"/>
      <c r="H786" s="45"/>
      <c r="I786" s="45"/>
      <c r="J786" s="45"/>
      <c r="K786" s="45"/>
      <c r="L786" s="45"/>
      <c r="M786" s="45">
        <v>0</v>
      </c>
      <c r="N786" s="45"/>
      <c r="O786" s="45"/>
    </row>
    <row r="787" spans="1:15" ht="15.75" x14ac:dyDescent="0.25">
      <c r="A787" s="45"/>
      <c r="B787" s="45" t="s">
        <v>47</v>
      </c>
      <c r="C787" s="45">
        <f>0.25/100*60</f>
        <v>0.15</v>
      </c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</row>
    <row r="788" spans="1:15" ht="15.75" x14ac:dyDescent="0.25">
      <c r="A788" s="45"/>
      <c r="B788" s="45" t="s">
        <v>339</v>
      </c>
      <c r="C788" s="45">
        <f>7.7/100*60</f>
        <v>4.62</v>
      </c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</row>
    <row r="789" spans="1:15" ht="15.75" x14ac:dyDescent="0.25">
      <c r="A789" s="45"/>
      <c r="B789" s="45" t="s">
        <v>41</v>
      </c>
      <c r="C789" s="45">
        <f>6/100*60</f>
        <v>3.5999999999999996</v>
      </c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</row>
    <row r="790" spans="1:15" ht="15.75" x14ac:dyDescent="0.25">
      <c r="A790" s="45">
        <v>131</v>
      </c>
      <c r="B790" s="44" t="s">
        <v>203</v>
      </c>
      <c r="C790" s="45">
        <v>250</v>
      </c>
      <c r="D790" s="45">
        <f>3.5/1000*250</f>
        <v>0.875</v>
      </c>
      <c r="E790" s="45">
        <f>17.4/1000*250</f>
        <v>4.3499999999999996</v>
      </c>
      <c r="F790" s="45">
        <f>10.1/1000*250</f>
        <v>2.5249999999999999</v>
      </c>
      <c r="G790" s="45">
        <f>211/1000*250</f>
        <v>52.75</v>
      </c>
      <c r="H790" s="45">
        <f>0.05/1000*250</f>
        <v>1.2500000000000001E-2</v>
      </c>
      <c r="I790" s="45">
        <f>7.2/1000*250</f>
        <v>1.8</v>
      </c>
      <c r="J790" s="45">
        <v>0</v>
      </c>
      <c r="K790" s="45">
        <f>9.8/1000*250</f>
        <v>2.4500000000000002</v>
      </c>
      <c r="L790" s="45">
        <f>140.8/1000*250</f>
        <v>35.200000000000003</v>
      </c>
      <c r="M790" s="45">
        <f>117.5/1000*250</f>
        <v>29.375</v>
      </c>
      <c r="N790" s="45">
        <f>52.8/1000*250</f>
        <v>13.2</v>
      </c>
      <c r="O790" s="45">
        <f>2.74/1000*250</f>
        <v>0.68500000000000005</v>
      </c>
    </row>
    <row r="791" spans="1:15" ht="15.75" x14ac:dyDescent="0.25">
      <c r="A791" s="45"/>
      <c r="B791" s="45" t="s">
        <v>41</v>
      </c>
      <c r="C791" s="45">
        <v>5</v>
      </c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</row>
    <row r="792" spans="1:15" ht="15.75" x14ac:dyDescent="0.25">
      <c r="A792" s="45"/>
      <c r="B792" s="45" t="s">
        <v>204</v>
      </c>
      <c r="C792" s="45">
        <v>10</v>
      </c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</row>
    <row r="793" spans="1:15" ht="15.75" x14ac:dyDescent="0.25">
      <c r="A793" s="45"/>
      <c r="B793" s="45" t="s">
        <v>47</v>
      </c>
      <c r="C793" s="45">
        <v>2</v>
      </c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</row>
    <row r="794" spans="1:15" ht="15.75" x14ac:dyDescent="0.25">
      <c r="A794" s="45"/>
      <c r="B794" s="45" t="s">
        <v>36</v>
      </c>
      <c r="C794" s="45">
        <v>10.07</v>
      </c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</row>
    <row r="795" spans="1:15" ht="15.75" x14ac:dyDescent="0.25">
      <c r="A795" s="45"/>
      <c r="B795" s="45" t="s">
        <v>37</v>
      </c>
      <c r="C795" s="45">
        <v>9.75</v>
      </c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</row>
    <row r="796" spans="1:15" ht="31.5" x14ac:dyDescent="0.25">
      <c r="A796" s="45">
        <v>357</v>
      </c>
      <c r="B796" s="44" t="s">
        <v>205</v>
      </c>
      <c r="C796" s="45">
        <v>80</v>
      </c>
      <c r="D796" s="45">
        <f>16.9/100*80</f>
        <v>13.52</v>
      </c>
      <c r="E796" s="45">
        <f>5.3/100*80</f>
        <v>4.24</v>
      </c>
      <c r="F796" s="45">
        <f>14.2/100*80</f>
        <v>11.36</v>
      </c>
      <c r="G796" s="45">
        <f>172/100*80</f>
        <v>137.6</v>
      </c>
      <c r="H796" s="45">
        <f>0.24/100*80</f>
        <v>0.19199999999999998</v>
      </c>
      <c r="I796" s="45">
        <f>6.7/100*80</f>
        <v>5.36</v>
      </c>
      <c r="J796" s="45">
        <v>5.0709999999999997</v>
      </c>
      <c r="K796" s="45">
        <f>1.1/100*80</f>
        <v>0.88000000000000012</v>
      </c>
      <c r="L796" s="45">
        <f>20.8/100*80</f>
        <v>16.64</v>
      </c>
      <c r="M796" s="45">
        <f>256.5/100*80</f>
        <v>205.2</v>
      </c>
      <c r="N796" s="45">
        <f>20.4/100*80</f>
        <v>16.32</v>
      </c>
      <c r="O796" s="45">
        <f>5.02/100*80</f>
        <v>4.016</v>
      </c>
    </row>
    <row r="797" spans="1:15" ht="15.75" x14ac:dyDescent="0.25">
      <c r="A797" s="45"/>
      <c r="B797" s="45" t="s">
        <v>206</v>
      </c>
      <c r="C797" s="45">
        <f>80/100*80</f>
        <v>64</v>
      </c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</row>
    <row r="798" spans="1:15" ht="15.75" x14ac:dyDescent="0.25">
      <c r="A798" s="45"/>
      <c r="B798" s="45" t="s">
        <v>47</v>
      </c>
      <c r="C798" s="45">
        <f>0.5/100*80</f>
        <v>0.4</v>
      </c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</row>
    <row r="799" spans="1:15" ht="15.75" x14ac:dyDescent="0.25">
      <c r="A799" s="45"/>
      <c r="B799" s="45" t="s">
        <v>23</v>
      </c>
      <c r="C799" s="45">
        <f>2/100*80</f>
        <v>1.6</v>
      </c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</row>
    <row r="800" spans="1:15" ht="15.75" x14ac:dyDescent="0.25">
      <c r="A800" s="45"/>
      <c r="B800" s="45" t="s">
        <v>46</v>
      </c>
      <c r="C800" s="45">
        <f>17/100*80</f>
        <v>13.600000000000001</v>
      </c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</row>
    <row r="801" spans="1:15" ht="15.75" x14ac:dyDescent="0.25">
      <c r="A801" s="45"/>
      <c r="B801" s="45" t="s">
        <v>37</v>
      </c>
      <c r="C801" s="45">
        <f>11.7/100*80</f>
        <v>9.36</v>
      </c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</row>
    <row r="802" spans="1:15" ht="15.75" x14ac:dyDescent="0.25">
      <c r="A802" s="45"/>
      <c r="B802" s="45" t="s">
        <v>96</v>
      </c>
      <c r="C802" s="45">
        <f>14.8/100*80</f>
        <v>11.840000000000002</v>
      </c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</row>
    <row r="803" spans="1:15" ht="15.75" x14ac:dyDescent="0.25">
      <c r="A803" s="45">
        <v>435</v>
      </c>
      <c r="B803" s="44" t="s">
        <v>164</v>
      </c>
      <c r="C803" s="45">
        <v>35</v>
      </c>
      <c r="D803" s="45">
        <v>1.28</v>
      </c>
      <c r="E803" s="45">
        <v>2.94</v>
      </c>
      <c r="F803" s="45">
        <v>2.5</v>
      </c>
      <c r="G803" s="45">
        <v>41.26</v>
      </c>
      <c r="H803" s="45">
        <v>0.01</v>
      </c>
      <c r="I803" s="45">
        <v>0.22</v>
      </c>
      <c r="J803" s="45">
        <v>17.29</v>
      </c>
      <c r="K803" s="45">
        <v>7.0000000000000007E-2</v>
      </c>
      <c r="L803" s="45">
        <v>39.799999999999997</v>
      </c>
      <c r="M803" s="45">
        <v>29.9</v>
      </c>
      <c r="N803" s="45">
        <v>4.9000000000000004</v>
      </c>
      <c r="O803" s="45">
        <v>7.0000000000000007E-2</v>
      </c>
    </row>
    <row r="804" spans="1:15" ht="15.75" x14ac:dyDescent="0.25">
      <c r="A804" s="45"/>
      <c r="B804" s="45" t="s">
        <v>23</v>
      </c>
      <c r="C804" s="45">
        <v>2.8</v>
      </c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</row>
    <row r="805" spans="1:15" ht="15.75" x14ac:dyDescent="0.25">
      <c r="A805" s="45"/>
      <c r="B805" s="45" t="s">
        <v>47</v>
      </c>
      <c r="C805" s="45">
        <v>0.28000000000000003</v>
      </c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</row>
    <row r="806" spans="1:15" ht="15.75" x14ac:dyDescent="0.25">
      <c r="A806" s="45"/>
      <c r="B806" s="45" t="s">
        <v>46</v>
      </c>
      <c r="C806" s="45">
        <v>2.8</v>
      </c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</row>
    <row r="807" spans="1:15" ht="15.75" x14ac:dyDescent="0.25">
      <c r="A807" s="45"/>
      <c r="B807" s="45" t="s">
        <v>25</v>
      </c>
      <c r="C807" s="45">
        <v>35</v>
      </c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</row>
    <row r="808" spans="1:15" ht="15.75" x14ac:dyDescent="0.25">
      <c r="A808" s="45">
        <v>156</v>
      </c>
      <c r="B808" s="44" t="s">
        <v>207</v>
      </c>
      <c r="C808" s="45">
        <v>150</v>
      </c>
      <c r="D808" s="45">
        <f>3.4/100*150</f>
        <v>5.1000000000000005</v>
      </c>
      <c r="E808" s="45">
        <f>2.7/100*150</f>
        <v>4.0500000000000007</v>
      </c>
      <c r="F808" s="45">
        <f>11.6/100*150</f>
        <v>17.399999999999999</v>
      </c>
      <c r="G808" s="45">
        <f>85/100*150</f>
        <v>127.5</v>
      </c>
      <c r="H808" s="45">
        <f>0.09/100*150</f>
        <v>0.13500000000000001</v>
      </c>
      <c r="I808" s="45">
        <f>2.2/100*150</f>
        <v>3.3000000000000003</v>
      </c>
      <c r="J808" s="45">
        <f>258.2/100*150</f>
        <v>387.29999999999995</v>
      </c>
      <c r="K808" s="45">
        <f>0.03/100*150</f>
        <v>4.4999999999999998E-2</v>
      </c>
      <c r="L808" s="45">
        <f>25.9/100*150</f>
        <v>38.85</v>
      </c>
      <c r="M808" s="45">
        <f>58.2/100*150</f>
        <v>87.300000000000011</v>
      </c>
      <c r="N808" s="45">
        <f>23.3/100*150</f>
        <v>34.950000000000003</v>
      </c>
      <c r="O808" s="45">
        <f>0.93/100*150</f>
        <v>1.3950000000000002</v>
      </c>
    </row>
    <row r="809" spans="1:15" ht="15.75" x14ac:dyDescent="0.25">
      <c r="A809" s="45"/>
      <c r="B809" s="45" t="s">
        <v>23</v>
      </c>
      <c r="C809" s="45">
        <f>3/100*150</f>
        <v>4.5</v>
      </c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</row>
    <row r="810" spans="1:15" ht="31.5" x14ac:dyDescent="0.25">
      <c r="A810" s="45"/>
      <c r="B810" s="45" t="s">
        <v>208</v>
      </c>
      <c r="C810" s="45">
        <f>107.8/100*150</f>
        <v>161.70000000000002</v>
      </c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</row>
    <row r="811" spans="1:15" ht="15.75" x14ac:dyDescent="0.25">
      <c r="A811" s="45">
        <v>494</v>
      </c>
      <c r="B811" s="44" t="s">
        <v>299</v>
      </c>
      <c r="C811" s="45">
        <v>200</v>
      </c>
      <c r="D811" s="45">
        <v>0.3</v>
      </c>
      <c r="E811" s="45">
        <v>0.01</v>
      </c>
      <c r="F811" s="45">
        <v>17.5</v>
      </c>
      <c r="G811" s="45">
        <v>72</v>
      </c>
      <c r="H811" s="45">
        <v>0</v>
      </c>
      <c r="I811" s="45">
        <v>0.1</v>
      </c>
      <c r="J811" s="45">
        <v>0</v>
      </c>
      <c r="K811" s="45">
        <v>0.1</v>
      </c>
      <c r="L811" s="45">
        <v>16.399999999999999</v>
      </c>
      <c r="M811" s="45">
        <v>10.7</v>
      </c>
      <c r="N811" s="45">
        <v>4.3</v>
      </c>
      <c r="O811" s="45">
        <v>0.9</v>
      </c>
    </row>
    <row r="812" spans="1:15" ht="15.75" x14ac:dyDescent="0.25">
      <c r="A812" s="45"/>
      <c r="B812" s="45" t="s">
        <v>300</v>
      </c>
      <c r="C812" s="45">
        <v>25</v>
      </c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</row>
    <row r="813" spans="1:15" ht="15.75" x14ac:dyDescent="0.25">
      <c r="A813" s="45"/>
      <c r="B813" s="45" t="s">
        <v>22</v>
      </c>
      <c r="C813" s="45">
        <v>10</v>
      </c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</row>
    <row r="814" spans="1:15" ht="15.75" x14ac:dyDescent="0.25">
      <c r="A814" s="45"/>
      <c r="B814" s="44" t="s">
        <v>107</v>
      </c>
      <c r="C814" s="45">
        <v>40</v>
      </c>
      <c r="D814" s="45">
        <v>3.04</v>
      </c>
      <c r="E814" s="45">
        <v>0.32</v>
      </c>
      <c r="F814" s="45">
        <v>19.68</v>
      </c>
      <c r="G814" s="45">
        <v>94</v>
      </c>
      <c r="H814" s="45">
        <v>0.04</v>
      </c>
      <c r="I814" s="45">
        <v>0</v>
      </c>
      <c r="J814" s="45">
        <v>0</v>
      </c>
      <c r="K814" s="45">
        <v>0.44</v>
      </c>
      <c r="L814" s="45">
        <v>8</v>
      </c>
      <c r="M814" s="45">
        <v>26</v>
      </c>
      <c r="N814" s="45">
        <v>5.6</v>
      </c>
      <c r="O814" s="45">
        <v>0.44</v>
      </c>
    </row>
    <row r="815" spans="1:15" ht="15.75" x14ac:dyDescent="0.25">
      <c r="A815" s="45"/>
      <c r="B815" s="44" t="s">
        <v>73</v>
      </c>
      <c r="C815" s="45">
        <v>30</v>
      </c>
      <c r="D815" s="45">
        <v>2.64</v>
      </c>
      <c r="E815" s="45">
        <v>0.48</v>
      </c>
      <c r="F815" s="45">
        <v>13.36</v>
      </c>
      <c r="G815" s="45">
        <v>69.599999999999994</v>
      </c>
      <c r="H815" s="45">
        <v>7.0000000000000007E-2</v>
      </c>
      <c r="I815" s="45">
        <v>0</v>
      </c>
      <c r="J815" s="45">
        <v>0</v>
      </c>
      <c r="K815" s="45">
        <v>0.56000000000000005</v>
      </c>
      <c r="L815" s="45">
        <v>14</v>
      </c>
      <c r="M815" s="45">
        <v>63.2</v>
      </c>
      <c r="N815" s="45">
        <v>18.8</v>
      </c>
      <c r="O815" s="45">
        <v>1.56</v>
      </c>
    </row>
    <row r="816" spans="1:15" s="7" customFormat="1" ht="15.75" x14ac:dyDescent="0.25">
      <c r="A816" s="44"/>
      <c r="B816" s="44" t="s">
        <v>379</v>
      </c>
      <c r="C816" s="44"/>
      <c r="D816" s="44">
        <f t="shared" ref="D816:O816" si="41">D817+D822+D831+D835+D844+D847+D848</f>
        <v>32.160000000000004</v>
      </c>
      <c r="E816" s="44">
        <f t="shared" si="41"/>
        <v>26.860000000000003</v>
      </c>
      <c r="F816" s="44">
        <f t="shared" si="41"/>
        <v>73.27000000000001</v>
      </c>
      <c r="G816" s="44">
        <f t="shared" si="41"/>
        <v>667.77</v>
      </c>
      <c r="H816" s="44">
        <f t="shared" si="41"/>
        <v>0.20799999999999999</v>
      </c>
      <c r="I816" s="44">
        <f t="shared" si="41"/>
        <v>47.008571428571429</v>
      </c>
      <c r="J816" s="44">
        <f t="shared" si="41"/>
        <v>104.04999999999998</v>
      </c>
      <c r="K816" s="44">
        <f t="shared" si="41"/>
        <v>4.92</v>
      </c>
      <c r="L816" s="44">
        <f t="shared" si="41"/>
        <v>156.25</v>
      </c>
      <c r="M816" s="44">
        <f t="shared" si="41"/>
        <v>311.52999999999997</v>
      </c>
      <c r="N816" s="44">
        <f t="shared" si="41"/>
        <v>91.17</v>
      </c>
      <c r="O816" s="44">
        <f t="shared" si="41"/>
        <v>5.3780000000000001</v>
      </c>
    </row>
    <row r="817" spans="1:15" ht="31.5" x14ac:dyDescent="0.25">
      <c r="A817" s="45">
        <v>15</v>
      </c>
      <c r="B817" s="44" t="s">
        <v>209</v>
      </c>
      <c r="C817" s="45">
        <v>60</v>
      </c>
      <c r="D817" s="45">
        <f>0.8/100*60</f>
        <v>0.48</v>
      </c>
      <c r="E817" s="45">
        <f>6.1/100*60</f>
        <v>3.66</v>
      </c>
      <c r="F817" s="45">
        <f>2.6/100*60</f>
        <v>1.56</v>
      </c>
      <c r="G817" s="45">
        <f>69/100*60</f>
        <v>41.4</v>
      </c>
      <c r="H817" s="45">
        <f>0.03/100*60</f>
        <v>1.7999999999999999E-2</v>
      </c>
      <c r="I817" s="45">
        <f>4.2/100*60</f>
        <v>2.52</v>
      </c>
      <c r="J817" s="45">
        <v>0</v>
      </c>
      <c r="K817" s="45">
        <f>4.5/100*60</f>
        <v>2.6999999999999997</v>
      </c>
      <c r="L817" s="45">
        <f>19/100*60</f>
        <v>11.4</v>
      </c>
      <c r="M817" s="45">
        <f>32.8/100*60</f>
        <v>19.679999999999996</v>
      </c>
      <c r="N817" s="45">
        <f>13.5/100*60</f>
        <v>8.1000000000000014</v>
      </c>
      <c r="O817" s="45">
        <f>0.53/100*60</f>
        <v>0.318</v>
      </c>
    </row>
    <row r="818" spans="1:15" ht="15.75" x14ac:dyDescent="0.25">
      <c r="A818" s="45"/>
      <c r="B818" s="45" t="s">
        <v>131</v>
      </c>
      <c r="C818" s="45">
        <f>83.7/100*60</f>
        <v>50.220000000000006</v>
      </c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</row>
    <row r="819" spans="1:15" ht="15.75" x14ac:dyDescent="0.25">
      <c r="A819" s="45"/>
      <c r="B819" s="45" t="s">
        <v>47</v>
      </c>
      <c r="C819" s="45">
        <f>0.25/100*60</f>
        <v>0.15</v>
      </c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</row>
    <row r="820" spans="1:15" ht="15.75" x14ac:dyDescent="0.25">
      <c r="A820" s="45"/>
      <c r="B820" s="45" t="s">
        <v>184</v>
      </c>
      <c r="C820" s="45">
        <f>12/100*60</f>
        <v>7.1999999999999993</v>
      </c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</row>
    <row r="821" spans="1:15" ht="15.75" x14ac:dyDescent="0.25">
      <c r="A821" s="45"/>
      <c r="B821" s="45" t="s">
        <v>41</v>
      </c>
      <c r="C821" s="45">
        <f>6/100*60</f>
        <v>3.5999999999999996</v>
      </c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</row>
    <row r="822" spans="1:15" ht="15.75" x14ac:dyDescent="0.25">
      <c r="A822" s="45">
        <v>116</v>
      </c>
      <c r="B822" s="44" t="s">
        <v>104</v>
      </c>
      <c r="C822" s="45">
        <v>250</v>
      </c>
      <c r="D822" s="45">
        <v>4.2300000000000004</v>
      </c>
      <c r="E822" s="45">
        <v>3.6</v>
      </c>
      <c r="F822" s="45">
        <v>15</v>
      </c>
      <c r="G822" s="45">
        <v>110.2</v>
      </c>
      <c r="H822" s="45">
        <v>0</v>
      </c>
      <c r="I822" s="45">
        <v>0.46</v>
      </c>
      <c r="J822" s="45">
        <v>0</v>
      </c>
      <c r="K822" s="45">
        <v>0</v>
      </c>
      <c r="L822" s="45">
        <v>0.5</v>
      </c>
      <c r="M822" s="45">
        <v>1.4</v>
      </c>
      <c r="N822" s="45">
        <v>0.52</v>
      </c>
      <c r="O822" s="45">
        <v>0.03</v>
      </c>
    </row>
    <row r="823" spans="1:15" ht="15.75" x14ac:dyDescent="0.25">
      <c r="A823" s="45"/>
      <c r="B823" s="45" t="s">
        <v>77</v>
      </c>
      <c r="C823" s="45">
        <v>50</v>
      </c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</row>
    <row r="824" spans="1:15" ht="15.75" x14ac:dyDescent="0.25">
      <c r="A824" s="45"/>
      <c r="B824" s="45" t="s">
        <v>36</v>
      </c>
      <c r="C824" s="45">
        <v>10</v>
      </c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</row>
    <row r="825" spans="1:15" ht="15.75" x14ac:dyDescent="0.25">
      <c r="A825" s="45"/>
      <c r="B825" s="45" t="s">
        <v>37</v>
      </c>
      <c r="C825" s="45">
        <v>10</v>
      </c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</row>
    <row r="826" spans="1:15" ht="15.75" x14ac:dyDescent="0.25">
      <c r="A826" s="45"/>
      <c r="B826" s="45" t="s">
        <v>41</v>
      </c>
      <c r="C826" s="45">
        <v>2.5</v>
      </c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</row>
    <row r="827" spans="1:15" ht="15.75" x14ac:dyDescent="0.25">
      <c r="A827" s="45"/>
      <c r="B827" s="45" t="s">
        <v>47</v>
      </c>
      <c r="C827" s="45">
        <v>0.22</v>
      </c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</row>
    <row r="828" spans="1:15" ht="15.75" x14ac:dyDescent="0.25">
      <c r="A828" s="45"/>
      <c r="B828" s="45" t="s">
        <v>46</v>
      </c>
      <c r="C828" s="45">
        <v>7.7</v>
      </c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</row>
    <row r="829" spans="1:15" ht="15.75" x14ac:dyDescent="0.25">
      <c r="A829" s="45"/>
      <c r="B829" s="45" t="s">
        <v>23</v>
      </c>
      <c r="C829" s="45">
        <v>0.88</v>
      </c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</row>
    <row r="830" spans="1:15" ht="15.75" x14ac:dyDescent="0.25">
      <c r="A830" s="45"/>
      <c r="B830" s="45" t="s">
        <v>96</v>
      </c>
      <c r="C830" s="45">
        <v>2.2000000000000002</v>
      </c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</row>
    <row r="831" spans="1:15" ht="15.75" x14ac:dyDescent="0.25">
      <c r="A831" s="45">
        <v>366</v>
      </c>
      <c r="B831" s="44" t="s">
        <v>340</v>
      </c>
      <c r="C831" s="45">
        <v>80</v>
      </c>
      <c r="D831" s="45">
        <v>18.170000000000002</v>
      </c>
      <c r="E831" s="45">
        <f>11.9/70*80</f>
        <v>13.600000000000001</v>
      </c>
      <c r="F831" s="45">
        <v>0.22</v>
      </c>
      <c r="G831" s="45">
        <v>196.57</v>
      </c>
      <c r="H831" s="45">
        <v>0.03</v>
      </c>
      <c r="I831" s="45">
        <f>0.9/70*80</f>
        <v>1.0285714285714285</v>
      </c>
      <c r="J831" s="45">
        <f>68.6/70*80</f>
        <v>78.399999999999991</v>
      </c>
      <c r="K831" s="45">
        <v>0.56999999999999995</v>
      </c>
      <c r="L831" s="45">
        <v>21.4</v>
      </c>
      <c r="M831" s="45">
        <f>109.9/70*80</f>
        <v>125.60000000000001</v>
      </c>
      <c r="N831" s="45">
        <v>14.9</v>
      </c>
      <c r="O831" s="45">
        <v>1.3</v>
      </c>
    </row>
    <row r="832" spans="1:15" ht="15.75" x14ac:dyDescent="0.25">
      <c r="A832" s="45"/>
      <c r="B832" s="45" t="s">
        <v>163</v>
      </c>
      <c r="C832" s="45">
        <f>70/70*80</f>
        <v>80</v>
      </c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</row>
    <row r="833" spans="1:15" ht="15.75" x14ac:dyDescent="0.25">
      <c r="A833" s="45"/>
      <c r="B833" s="45" t="s">
        <v>36</v>
      </c>
      <c r="C833" s="45">
        <v>2.85</v>
      </c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</row>
    <row r="834" spans="1:15" ht="15.75" x14ac:dyDescent="0.25">
      <c r="A834" s="45"/>
      <c r="B834" s="45" t="s">
        <v>47</v>
      </c>
      <c r="C834" s="45">
        <v>0.28000000000000003</v>
      </c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</row>
    <row r="835" spans="1:15" ht="15.75" x14ac:dyDescent="0.25">
      <c r="A835" s="45">
        <v>380</v>
      </c>
      <c r="B835" s="44" t="s">
        <v>210</v>
      </c>
      <c r="C835" s="45">
        <v>150</v>
      </c>
      <c r="D835" s="45">
        <f>2.2/100*150</f>
        <v>3.3000000000000003</v>
      </c>
      <c r="E835" s="45">
        <v>5.0999999999999996</v>
      </c>
      <c r="F835" s="45">
        <v>12.15</v>
      </c>
      <c r="G835" s="45">
        <v>108</v>
      </c>
      <c r="H835" s="45">
        <v>0.04</v>
      </c>
      <c r="I835" s="45">
        <v>21.3</v>
      </c>
      <c r="J835" s="45">
        <v>25.65</v>
      </c>
      <c r="K835" s="45">
        <v>0.45</v>
      </c>
      <c r="L835" s="45">
        <v>90.15</v>
      </c>
      <c r="M835" s="45">
        <v>66.45</v>
      </c>
      <c r="N835" s="45">
        <v>34.35</v>
      </c>
      <c r="O835" s="45">
        <v>1.32</v>
      </c>
    </row>
    <row r="836" spans="1:15" ht="15.75" x14ac:dyDescent="0.25">
      <c r="A836" s="45"/>
      <c r="B836" s="45" t="s">
        <v>34</v>
      </c>
      <c r="C836" s="45">
        <f>8/100*150</f>
        <v>12</v>
      </c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</row>
    <row r="837" spans="1:15" ht="15.75" x14ac:dyDescent="0.25">
      <c r="A837" s="45"/>
      <c r="B837" s="45" t="s">
        <v>22</v>
      </c>
      <c r="C837" s="45">
        <f>3/100*150</f>
        <v>4.5</v>
      </c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</row>
    <row r="838" spans="1:15" ht="15.75" x14ac:dyDescent="0.25">
      <c r="A838" s="45"/>
      <c r="B838" s="45" t="s">
        <v>46</v>
      </c>
      <c r="C838" s="45">
        <v>1.8</v>
      </c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</row>
    <row r="839" spans="1:15" ht="15.75" x14ac:dyDescent="0.25">
      <c r="A839" s="45"/>
      <c r="B839" s="45" t="s">
        <v>36</v>
      </c>
      <c r="C839" s="45">
        <v>8.85</v>
      </c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</row>
    <row r="840" spans="1:15" ht="15.75" x14ac:dyDescent="0.25">
      <c r="A840" s="45"/>
      <c r="B840" s="45" t="s">
        <v>37</v>
      </c>
      <c r="C840" s="45">
        <f>3.9/100*150</f>
        <v>5.85</v>
      </c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</row>
    <row r="841" spans="1:15" ht="15.75" x14ac:dyDescent="0.25">
      <c r="A841" s="45"/>
      <c r="B841" s="45" t="s">
        <v>38</v>
      </c>
      <c r="C841" s="45">
        <f>105/100*150</f>
        <v>157.5</v>
      </c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</row>
    <row r="842" spans="1:15" ht="15.75" x14ac:dyDescent="0.25">
      <c r="A842" s="45"/>
      <c r="B842" s="45" t="s">
        <v>174</v>
      </c>
      <c r="C842" s="45">
        <v>4</v>
      </c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</row>
    <row r="843" spans="1:15" ht="15.75" x14ac:dyDescent="0.25">
      <c r="A843" s="45"/>
      <c r="B843" s="45" t="s">
        <v>23</v>
      </c>
      <c r="C843" s="45">
        <v>6.75</v>
      </c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</row>
    <row r="844" spans="1:15" ht="15.75" x14ac:dyDescent="0.25">
      <c r="A844" s="45">
        <v>490</v>
      </c>
      <c r="B844" s="44" t="s">
        <v>294</v>
      </c>
      <c r="C844" s="45">
        <v>200</v>
      </c>
      <c r="D844" s="45">
        <v>0.3</v>
      </c>
      <c r="E844" s="45">
        <v>0.1</v>
      </c>
      <c r="F844" s="45">
        <v>11.3</v>
      </c>
      <c r="G844" s="45">
        <v>48</v>
      </c>
      <c r="H844" s="45">
        <v>0.01</v>
      </c>
      <c r="I844" s="45">
        <v>21.7</v>
      </c>
      <c r="J844" s="45">
        <v>0</v>
      </c>
      <c r="K844" s="45">
        <v>0.2</v>
      </c>
      <c r="L844" s="45">
        <v>10.8</v>
      </c>
      <c r="M844" s="45">
        <v>9.1999999999999993</v>
      </c>
      <c r="N844" s="45">
        <v>8.9</v>
      </c>
      <c r="O844" s="45">
        <v>0.41</v>
      </c>
    </row>
    <row r="845" spans="1:15" ht="15.75" x14ac:dyDescent="0.25">
      <c r="A845" s="45"/>
      <c r="B845" s="45" t="s">
        <v>22</v>
      </c>
      <c r="C845" s="45">
        <v>10</v>
      </c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</row>
    <row r="846" spans="1:15" ht="15.75" x14ac:dyDescent="0.25">
      <c r="A846" s="45"/>
      <c r="B846" s="45" t="s">
        <v>113</v>
      </c>
      <c r="C846" s="45">
        <v>30</v>
      </c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</row>
    <row r="847" spans="1:15" ht="15.75" x14ac:dyDescent="0.25">
      <c r="A847" s="45"/>
      <c r="B847" s="44" t="s">
        <v>107</v>
      </c>
      <c r="C847" s="45">
        <v>40</v>
      </c>
      <c r="D847" s="45">
        <v>3.04</v>
      </c>
      <c r="E847" s="45">
        <v>0.32</v>
      </c>
      <c r="F847" s="45">
        <v>19.68</v>
      </c>
      <c r="G847" s="45">
        <v>94</v>
      </c>
      <c r="H847" s="45">
        <v>0.04</v>
      </c>
      <c r="I847" s="45">
        <v>0</v>
      </c>
      <c r="J847" s="45">
        <v>0</v>
      </c>
      <c r="K847" s="45">
        <v>0.44</v>
      </c>
      <c r="L847" s="45">
        <v>8</v>
      </c>
      <c r="M847" s="45">
        <v>26</v>
      </c>
      <c r="N847" s="45">
        <v>5.6</v>
      </c>
      <c r="O847" s="45">
        <v>0.44</v>
      </c>
    </row>
    <row r="848" spans="1:15" ht="15.75" x14ac:dyDescent="0.25">
      <c r="A848" s="45"/>
      <c r="B848" s="44" t="s">
        <v>73</v>
      </c>
      <c r="C848" s="45">
        <v>30</v>
      </c>
      <c r="D848" s="45">
        <v>2.64</v>
      </c>
      <c r="E848" s="45">
        <v>0.48</v>
      </c>
      <c r="F848" s="45">
        <v>13.36</v>
      </c>
      <c r="G848" s="45">
        <v>69.599999999999994</v>
      </c>
      <c r="H848" s="45">
        <v>7.0000000000000007E-2</v>
      </c>
      <c r="I848" s="45">
        <v>0</v>
      </c>
      <c r="J848" s="45">
        <v>0</v>
      </c>
      <c r="K848" s="45">
        <v>0.56000000000000005</v>
      </c>
      <c r="L848" s="45">
        <v>14</v>
      </c>
      <c r="M848" s="45">
        <v>63.2</v>
      </c>
      <c r="N848" s="45">
        <v>18.8</v>
      </c>
      <c r="O848" s="45">
        <v>1.56</v>
      </c>
    </row>
    <row r="849" spans="1:15" s="7" customFormat="1" ht="15.75" x14ac:dyDescent="0.25">
      <c r="A849" s="44"/>
      <c r="B849" s="44" t="s">
        <v>375</v>
      </c>
      <c r="C849" s="44"/>
      <c r="D849" s="44">
        <f>D850+D851</f>
        <v>11.4</v>
      </c>
      <c r="E849" s="44">
        <f t="shared" ref="E849:O849" si="42">E850+E851</f>
        <v>8.3000000000000007</v>
      </c>
      <c r="F849" s="44">
        <f t="shared" si="42"/>
        <v>30</v>
      </c>
      <c r="G849" s="44">
        <f t="shared" si="42"/>
        <v>461</v>
      </c>
      <c r="H849" s="44">
        <f t="shared" si="42"/>
        <v>0.08</v>
      </c>
      <c r="I849" s="44">
        <f t="shared" si="42"/>
        <v>1.4</v>
      </c>
      <c r="J849" s="44">
        <f t="shared" si="42"/>
        <v>0</v>
      </c>
      <c r="K849" s="44">
        <f t="shared" si="42"/>
        <v>0</v>
      </c>
      <c r="L849" s="44">
        <f t="shared" si="42"/>
        <v>240</v>
      </c>
      <c r="M849" s="44">
        <f t="shared" si="42"/>
        <v>0</v>
      </c>
      <c r="N849" s="44">
        <f t="shared" si="42"/>
        <v>0.2</v>
      </c>
      <c r="O849" s="44">
        <f t="shared" si="42"/>
        <v>0</v>
      </c>
    </row>
    <row r="850" spans="1:15" ht="15.75" x14ac:dyDescent="0.25">
      <c r="A850" s="45"/>
      <c r="B850" s="44" t="s">
        <v>293</v>
      </c>
      <c r="C850" s="45">
        <v>100</v>
      </c>
      <c r="D850" s="45">
        <v>5.4</v>
      </c>
      <c r="E850" s="45">
        <v>6.3</v>
      </c>
      <c r="F850" s="45">
        <v>22</v>
      </c>
      <c r="G850" s="45">
        <v>381</v>
      </c>
      <c r="H850" s="45"/>
      <c r="I850" s="45"/>
      <c r="J850" s="45"/>
      <c r="K850" s="45"/>
      <c r="L850" s="45"/>
      <c r="M850" s="45"/>
      <c r="N850" s="45"/>
      <c r="O850" s="45"/>
    </row>
    <row r="851" spans="1:15" ht="15.75" x14ac:dyDescent="0.25">
      <c r="A851" s="45"/>
      <c r="B851" s="44" t="s">
        <v>114</v>
      </c>
      <c r="C851" s="45">
        <v>200</v>
      </c>
      <c r="D851" s="45">
        <v>6</v>
      </c>
      <c r="E851" s="45">
        <v>2</v>
      </c>
      <c r="F851" s="45">
        <v>8</v>
      </c>
      <c r="G851" s="45">
        <v>80</v>
      </c>
      <c r="H851" s="45">
        <v>0.08</v>
      </c>
      <c r="I851" s="45">
        <v>1.4</v>
      </c>
      <c r="J851" s="45">
        <v>0</v>
      </c>
      <c r="K851" s="45">
        <v>0</v>
      </c>
      <c r="L851" s="45">
        <v>240</v>
      </c>
      <c r="M851" s="45">
        <v>0</v>
      </c>
      <c r="N851" s="45">
        <v>0.2</v>
      </c>
      <c r="O851" s="45"/>
    </row>
    <row r="852" spans="1:15" s="7" customFormat="1" ht="15.75" x14ac:dyDescent="0.25">
      <c r="A852" s="44"/>
      <c r="B852" s="44" t="s">
        <v>66</v>
      </c>
      <c r="C852" s="44"/>
      <c r="D852" s="44">
        <f t="shared" ref="D852:O852" si="43">D771+D784+D816+D849</f>
        <v>88.195000000000022</v>
      </c>
      <c r="E852" s="44">
        <f t="shared" si="43"/>
        <v>67.31</v>
      </c>
      <c r="F852" s="44">
        <f t="shared" si="43"/>
        <v>283.255</v>
      </c>
      <c r="G852" s="44">
        <f t="shared" si="43"/>
        <v>2112.16</v>
      </c>
      <c r="H852" s="44">
        <f t="shared" si="43"/>
        <v>1.0175000000000001</v>
      </c>
      <c r="I852" s="44">
        <f t="shared" si="43"/>
        <v>102.26857142857143</v>
      </c>
      <c r="J852" s="44">
        <f t="shared" si="43"/>
        <v>585.8309999999999</v>
      </c>
      <c r="K852" s="44">
        <f t="shared" si="43"/>
        <v>13.055</v>
      </c>
      <c r="L852" s="44">
        <f t="shared" si="43"/>
        <v>932.38</v>
      </c>
      <c r="M852" s="44">
        <f t="shared" si="43"/>
        <v>1170.3849999999998</v>
      </c>
      <c r="N852" s="44">
        <f t="shared" si="43"/>
        <v>296.83999999999997</v>
      </c>
      <c r="O852" s="44">
        <f t="shared" si="43"/>
        <v>18.102000000000004</v>
      </c>
    </row>
    <row r="853" spans="1:15" ht="15.75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</row>
    <row r="854" spans="1:15" ht="18" x14ac:dyDescent="0.25">
      <c r="A854" s="1" t="s">
        <v>235</v>
      </c>
    </row>
    <row r="856" spans="1:15" ht="15.75" x14ac:dyDescent="0.25">
      <c r="A856" s="2" t="s">
        <v>19</v>
      </c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</row>
    <row r="857" spans="1:15" ht="15" x14ac:dyDescent="0.2">
      <c r="A857" s="62" t="s">
        <v>17</v>
      </c>
      <c r="B857" s="61" t="s">
        <v>0</v>
      </c>
      <c r="C857" s="61" t="s">
        <v>1</v>
      </c>
      <c r="D857" s="63" t="s">
        <v>9</v>
      </c>
      <c r="E857" s="64"/>
      <c r="F857" s="65"/>
      <c r="G857" s="61" t="s">
        <v>10</v>
      </c>
      <c r="H857" s="61" t="s">
        <v>7</v>
      </c>
      <c r="I857" s="61"/>
      <c r="J857" s="61"/>
      <c r="K857" s="61"/>
      <c r="L857" s="61" t="s">
        <v>8</v>
      </c>
      <c r="M857" s="61"/>
      <c r="N857" s="61"/>
      <c r="O857" s="61"/>
    </row>
    <row r="858" spans="1:15" ht="30" x14ac:dyDescent="0.2">
      <c r="A858" s="62"/>
      <c r="B858" s="61"/>
      <c r="C858" s="61"/>
      <c r="D858" s="41" t="s">
        <v>2</v>
      </c>
      <c r="E858" s="42" t="s">
        <v>3</v>
      </c>
      <c r="F858" s="42" t="s">
        <v>4</v>
      </c>
      <c r="G858" s="61"/>
      <c r="H858" s="42" t="s">
        <v>11</v>
      </c>
      <c r="I858" s="42" t="s">
        <v>12</v>
      </c>
      <c r="J858" s="42" t="s">
        <v>13</v>
      </c>
      <c r="K858" s="42" t="s">
        <v>5</v>
      </c>
      <c r="L858" s="43" t="s">
        <v>14</v>
      </c>
      <c r="M858" s="42" t="s">
        <v>15</v>
      </c>
      <c r="N858" s="42" t="s">
        <v>6</v>
      </c>
      <c r="O858" s="42" t="s">
        <v>16</v>
      </c>
    </row>
    <row r="859" spans="1:15" ht="15.75" x14ac:dyDescent="0.25">
      <c r="A859" s="44"/>
      <c r="B859" s="44" t="s">
        <v>370</v>
      </c>
      <c r="C859" s="44"/>
      <c r="D859" s="44">
        <f t="shared" ref="D859:O859" si="44">D860+D862+D869+D873+D874</f>
        <v>29.08</v>
      </c>
      <c r="E859" s="44">
        <f t="shared" si="44"/>
        <v>33.6</v>
      </c>
      <c r="F859" s="44">
        <f t="shared" si="44"/>
        <v>77.540000000000006</v>
      </c>
      <c r="G859" s="44">
        <f t="shared" si="44"/>
        <v>730.6</v>
      </c>
      <c r="H859" s="44">
        <f t="shared" si="44"/>
        <v>0.19</v>
      </c>
      <c r="I859" s="44">
        <f t="shared" si="44"/>
        <v>9.1999999999999993</v>
      </c>
      <c r="J859" s="44">
        <f t="shared" si="44"/>
        <v>82.4</v>
      </c>
      <c r="K859" s="44">
        <f t="shared" si="44"/>
        <v>9.7199999999999989</v>
      </c>
      <c r="L859" s="44">
        <f t="shared" si="44"/>
        <v>99.600000000000009</v>
      </c>
      <c r="M859" s="44">
        <f t="shared" si="44"/>
        <v>251</v>
      </c>
      <c r="N859" s="44">
        <f t="shared" si="44"/>
        <v>81.8</v>
      </c>
      <c r="O859" s="44">
        <f t="shared" si="44"/>
        <v>5.0999999999999996</v>
      </c>
    </row>
    <row r="860" spans="1:15" ht="47.25" x14ac:dyDescent="0.25">
      <c r="A860" s="45">
        <v>150</v>
      </c>
      <c r="B860" s="44" t="s">
        <v>211</v>
      </c>
      <c r="C860" s="45">
        <v>40</v>
      </c>
      <c r="D860" s="45">
        <v>1.9</v>
      </c>
      <c r="E860" s="45">
        <v>8.9</v>
      </c>
      <c r="F860" s="45">
        <v>7.7</v>
      </c>
      <c r="G860" s="45">
        <v>119</v>
      </c>
      <c r="H860" s="45">
        <v>0.02</v>
      </c>
      <c r="I860" s="45">
        <v>7</v>
      </c>
      <c r="J860" s="45">
        <v>0</v>
      </c>
      <c r="K860" s="45">
        <v>3.1</v>
      </c>
      <c r="L860" s="45">
        <v>41</v>
      </c>
      <c r="M860" s="45">
        <v>37</v>
      </c>
      <c r="N860" s="45">
        <v>15</v>
      </c>
      <c r="O860" s="45">
        <v>0.7</v>
      </c>
    </row>
    <row r="861" spans="1:15" ht="15.75" x14ac:dyDescent="0.25">
      <c r="A861" s="45"/>
      <c r="B861" s="45" t="s">
        <v>212</v>
      </c>
      <c r="C861" s="45">
        <v>40</v>
      </c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</row>
    <row r="862" spans="1:15" ht="15.75" x14ac:dyDescent="0.25">
      <c r="A862" s="45">
        <v>375</v>
      </c>
      <c r="B862" s="44" t="s">
        <v>213</v>
      </c>
      <c r="C862" s="45">
        <v>210</v>
      </c>
      <c r="D862" s="45">
        <v>21.2</v>
      </c>
      <c r="E862" s="45">
        <v>23.8</v>
      </c>
      <c r="F862" s="45">
        <v>27.3</v>
      </c>
      <c r="G862" s="45">
        <v>408</v>
      </c>
      <c r="H862" s="45">
        <v>0.06</v>
      </c>
      <c r="I862" s="45">
        <v>1.2</v>
      </c>
      <c r="J862" s="45">
        <v>82.4</v>
      </c>
      <c r="K862" s="45">
        <v>5.6</v>
      </c>
      <c r="L862" s="45">
        <v>28.7</v>
      </c>
      <c r="M862" s="45">
        <v>115.7</v>
      </c>
      <c r="N862" s="45">
        <v>37.4</v>
      </c>
      <c r="O862" s="45">
        <v>1.53</v>
      </c>
    </row>
    <row r="863" spans="1:15" ht="15.75" x14ac:dyDescent="0.25">
      <c r="A863" s="45"/>
      <c r="B863" s="45" t="s">
        <v>44</v>
      </c>
      <c r="C863" s="45">
        <v>48.5</v>
      </c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</row>
    <row r="864" spans="1:15" ht="15.75" x14ac:dyDescent="0.25">
      <c r="A864" s="45"/>
      <c r="B864" s="45" t="s">
        <v>285</v>
      </c>
      <c r="C864" s="45">
        <v>70</v>
      </c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</row>
    <row r="865" spans="1:15" ht="15.75" x14ac:dyDescent="0.25">
      <c r="A865" s="45"/>
      <c r="B865" s="45" t="s">
        <v>47</v>
      </c>
      <c r="C865" s="45">
        <v>0.9</v>
      </c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</row>
    <row r="866" spans="1:15" ht="15.75" x14ac:dyDescent="0.25">
      <c r="A866" s="45"/>
      <c r="B866" s="45" t="s">
        <v>36</v>
      </c>
      <c r="C866" s="45">
        <v>18.399999999999999</v>
      </c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</row>
    <row r="867" spans="1:15" ht="15.75" x14ac:dyDescent="0.25">
      <c r="A867" s="45"/>
      <c r="B867" s="45" t="s">
        <v>37</v>
      </c>
      <c r="C867" s="45">
        <v>10.9</v>
      </c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</row>
    <row r="868" spans="1:15" ht="15.75" x14ac:dyDescent="0.25">
      <c r="A868" s="45"/>
      <c r="B868" s="45" t="s">
        <v>41</v>
      </c>
      <c r="C868" s="45">
        <v>11</v>
      </c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</row>
    <row r="869" spans="1:15" ht="15.75" x14ac:dyDescent="0.25">
      <c r="A869" s="45">
        <v>459</v>
      </c>
      <c r="B869" s="44" t="s">
        <v>214</v>
      </c>
      <c r="C869" s="45">
        <v>200</v>
      </c>
      <c r="D869" s="45">
        <v>0.3</v>
      </c>
      <c r="E869" s="45">
        <v>0.1</v>
      </c>
      <c r="F869" s="45">
        <v>9.5</v>
      </c>
      <c r="G869" s="45">
        <v>40</v>
      </c>
      <c r="H869" s="45">
        <v>0</v>
      </c>
      <c r="I869" s="45">
        <v>1</v>
      </c>
      <c r="J869" s="45">
        <v>0</v>
      </c>
      <c r="K869" s="45">
        <v>0.02</v>
      </c>
      <c r="L869" s="45">
        <v>7.9</v>
      </c>
      <c r="M869" s="45">
        <v>9.1</v>
      </c>
      <c r="N869" s="45">
        <v>5</v>
      </c>
      <c r="O869" s="45">
        <v>0.87</v>
      </c>
    </row>
    <row r="870" spans="1:15" ht="15.75" x14ac:dyDescent="0.25">
      <c r="A870" s="45"/>
      <c r="B870" s="45" t="s">
        <v>55</v>
      </c>
      <c r="C870" s="45">
        <v>7.2</v>
      </c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</row>
    <row r="871" spans="1:15" ht="15.75" x14ac:dyDescent="0.25">
      <c r="A871" s="45"/>
      <c r="B871" s="45" t="s">
        <v>22</v>
      </c>
      <c r="C871" s="45">
        <v>10</v>
      </c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</row>
    <row r="872" spans="1:15" ht="15.75" x14ac:dyDescent="0.25">
      <c r="A872" s="45"/>
      <c r="B872" s="45" t="s">
        <v>71</v>
      </c>
      <c r="C872" s="45">
        <v>1</v>
      </c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</row>
    <row r="873" spans="1:15" ht="15.75" x14ac:dyDescent="0.25">
      <c r="A873" s="45"/>
      <c r="B873" s="44" t="s">
        <v>107</v>
      </c>
      <c r="C873" s="45">
        <v>40</v>
      </c>
      <c r="D873" s="45">
        <v>3.04</v>
      </c>
      <c r="E873" s="45">
        <v>0.32</v>
      </c>
      <c r="F873" s="45">
        <v>19.68</v>
      </c>
      <c r="G873" s="45">
        <v>94</v>
      </c>
      <c r="H873" s="45">
        <v>0.04</v>
      </c>
      <c r="I873" s="45">
        <v>0</v>
      </c>
      <c r="J873" s="45">
        <v>0</v>
      </c>
      <c r="K873" s="45">
        <v>0.44</v>
      </c>
      <c r="L873" s="45">
        <v>8</v>
      </c>
      <c r="M873" s="45">
        <v>26</v>
      </c>
      <c r="N873" s="45">
        <v>5.6</v>
      </c>
      <c r="O873" s="45">
        <v>0.44</v>
      </c>
    </row>
    <row r="874" spans="1:15" ht="15.75" x14ac:dyDescent="0.25">
      <c r="A874" s="45"/>
      <c r="B874" s="44" t="s">
        <v>73</v>
      </c>
      <c r="C874" s="45">
        <v>30</v>
      </c>
      <c r="D874" s="45">
        <v>2.64</v>
      </c>
      <c r="E874" s="45">
        <v>0.48</v>
      </c>
      <c r="F874" s="45">
        <v>13.36</v>
      </c>
      <c r="G874" s="45">
        <v>69.599999999999994</v>
      </c>
      <c r="H874" s="45">
        <v>7.0000000000000007E-2</v>
      </c>
      <c r="I874" s="45">
        <v>0</v>
      </c>
      <c r="J874" s="45">
        <v>0</v>
      </c>
      <c r="K874" s="45">
        <v>0.56000000000000005</v>
      </c>
      <c r="L874" s="45">
        <v>14</v>
      </c>
      <c r="M874" s="45">
        <v>63.2</v>
      </c>
      <c r="N874" s="45">
        <v>18.8</v>
      </c>
      <c r="O874" s="45">
        <v>1.56</v>
      </c>
    </row>
    <row r="875" spans="1:15" ht="15.75" x14ac:dyDescent="0.25">
      <c r="A875" s="45"/>
      <c r="B875" s="44" t="s">
        <v>356</v>
      </c>
      <c r="C875" s="45">
        <v>100</v>
      </c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</row>
    <row r="876" spans="1:15" s="7" customFormat="1" ht="15.75" x14ac:dyDescent="0.25">
      <c r="A876" s="44"/>
      <c r="B876" s="44" t="s">
        <v>373</v>
      </c>
      <c r="C876" s="44"/>
      <c r="D876" s="44">
        <f t="shared" ref="D876:O876" si="45">D877+D878+D887+D893+D898+D902+D903</f>
        <v>37.849999999999994</v>
      </c>
      <c r="E876" s="44">
        <f t="shared" si="45"/>
        <v>20.290000000000003</v>
      </c>
      <c r="F876" s="44">
        <f t="shared" si="45"/>
        <v>99.54</v>
      </c>
      <c r="G876" s="44">
        <f t="shared" si="45"/>
        <v>736.48</v>
      </c>
      <c r="H876" s="44">
        <f t="shared" si="45"/>
        <v>0.68800000000000017</v>
      </c>
      <c r="I876" s="44">
        <f t="shared" si="45"/>
        <v>43.29</v>
      </c>
      <c r="J876" s="44">
        <f t="shared" si="45"/>
        <v>17.009999999999998</v>
      </c>
      <c r="K876" s="44">
        <f t="shared" si="45"/>
        <v>5.7200000000000006</v>
      </c>
      <c r="L876" s="44">
        <f t="shared" si="45"/>
        <v>197.21</v>
      </c>
      <c r="M876" s="44">
        <f t="shared" si="45"/>
        <v>492.03999999999996</v>
      </c>
      <c r="N876" s="44">
        <f t="shared" si="45"/>
        <v>160.44999999999999</v>
      </c>
      <c r="O876" s="44">
        <f t="shared" si="45"/>
        <v>11.866000000000001</v>
      </c>
    </row>
    <row r="877" spans="1:15" ht="15.75" x14ac:dyDescent="0.25">
      <c r="A877" s="45">
        <v>148</v>
      </c>
      <c r="B877" s="44" t="s">
        <v>298</v>
      </c>
      <c r="C877" s="45">
        <v>60</v>
      </c>
      <c r="D877" s="45">
        <v>1.1000000000000001</v>
      </c>
      <c r="E877" s="45">
        <v>0.2</v>
      </c>
      <c r="F877" s="45">
        <v>3.8</v>
      </c>
      <c r="G877" s="45">
        <v>24</v>
      </c>
      <c r="H877" s="45">
        <v>0.06</v>
      </c>
      <c r="I877" s="45">
        <v>25</v>
      </c>
      <c r="J877" s="45">
        <v>0</v>
      </c>
      <c r="K877" s="45">
        <v>0.7</v>
      </c>
      <c r="L877" s="45">
        <v>14</v>
      </c>
      <c r="M877" s="45">
        <v>26</v>
      </c>
      <c r="N877" s="45">
        <v>20</v>
      </c>
      <c r="O877" s="45">
        <v>0.9</v>
      </c>
    </row>
    <row r="878" spans="1:15" ht="15.75" x14ac:dyDescent="0.25">
      <c r="A878" s="45">
        <v>98</v>
      </c>
      <c r="B878" s="44" t="s">
        <v>171</v>
      </c>
      <c r="C878" s="45">
        <v>250</v>
      </c>
      <c r="D878" s="45">
        <v>2.0499999999999998</v>
      </c>
      <c r="E878" s="45">
        <v>4.75</v>
      </c>
      <c r="F878" s="45">
        <v>10.72</v>
      </c>
      <c r="G878" s="45">
        <v>93.75</v>
      </c>
      <c r="H878" s="45">
        <v>0.06</v>
      </c>
      <c r="I878" s="45">
        <v>8.1199999999999992</v>
      </c>
      <c r="J878" s="45">
        <v>0</v>
      </c>
      <c r="K878" s="45">
        <v>2.4</v>
      </c>
      <c r="L878" s="45">
        <v>40.9</v>
      </c>
      <c r="M878" s="45">
        <v>66.099999999999994</v>
      </c>
      <c r="N878" s="45">
        <v>30.02</v>
      </c>
      <c r="O878" s="45">
        <v>1.53</v>
      </c>
    </row>
    <row r="879" spans="1:15" ht="15.75" x14ac:dyDescent="0.25">
      <c r="A879" s="45"/>
      <c r="B879" s="45" t="s">
        <v>33</v>
      </c>
      <c r="C879" s="45">
        <v>64</v>
      </c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</row>
    <row r="880" spans="1:15" ht="15.75" x14ac:dyDescent="0.25">
      <c r="A880" s="45"/>
      <c r="B880" s="45" t="s">
        <v>34</v>
      </c>
      <c r="C880" s="45">
        <v>3.25</v>
      </c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</row>
    <row r="881" spans="1:15" ht="15.75" x14ac:dyDescent="0.25">
      <c r="A881" s="45"/>
      <c r="B881" s="45" t="s">
        <v>22</v>
      </c>
      <c r="C881" s="45">
        <v>2.5</v>
      </c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</row>
    <row r="882" spans="1:15" ht="15.75" x14ac:dyDescent="0.25">
      <c r="A882" s="45"/>
      <c r="B882" s="45" t="s">
        <v>23</v>
      </c>
      <c r="C882" s="45">
        <v>5</v>
      </c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</row>
    <row r="883" spans="1:15" ht="15.75" x14ac:dyDescent="0.25">
      <c r="A883" s="45"/>
      <c r="B883" s="45" t="s">
        <v>35</v>
      </c>
      <c r="C883" s="45">
        <v>15</v>
      </c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</row>
    <row r="884" spans="1:15" ht="15.75" x14ac:dyDescent="0.25">
      <c r="A884" s="45"/>
      <c r="B884" s="45" t="s">
        <v>36</v>
      </c>
      <c r="C884" s="45">
        <v>11.32</v>
      </c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</row>
    <row r="885" spans="1:15" ht="15.75" x14ac:dyDescent="0.25">
      <c r="A885" s="45"/>
      <c r="B885" s="45" t="s">
        <v>37</v>
      </c>
      <c r="C885" s="45">
        <v>9.75</v>
      </c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</row>
    <row r="886" spans="1:15" ht="15.75" x14ac:dyDescent="0.25">
      <c r="A886" s="45"/>
      <c r="B886" s="45" t="s">
        <v>77</v>
      </c>
      <c r="C886" s="45">
        <v>43.12</v>
      </c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</row>
    <row r="887" spans="1:15" ht="15.75" x14ac:dyDescent="0.25">
      <c r="A887" s="45">
        <v>339</v>
      </c>
      <c r="B887" s="44" t="s">
        <v>215</v>
      </c>
      <c r="C887" s="45">
        <v>80</v>
      </c>
      <c r="D887" s="45">
        <f>17.4/100*80</f>
        <v>13.919999999999998</v>
      </c>
      <c r="E887" s="45">
        <f>13.8/100*80</f>
        <v>11.040000000000001</v>
      </c>
      <c r="F887" s="45">
        <f>15.6/100*80</f>
        <v>12.48</v>
      </c>
      <c r="G887" s="45">
        <f>256/100*80</f>
        <v>204.8</v>
      </c>
      <c r="H887" s="45">
        <f>0.16/100*80</f>
        <v>0.128</v>
      </c>
      <c r="I887" s="45">
        <f>0.3/100*80</f>
        <v>0.24</v>
      </c>
      <c r="J887" s="45">
        <f>4.6/100*80</f>
        <v>3.6799999999999997</v>
      </c>
      <c r="K887" s="45">
        <f>1.4/100*80</f>
        <v>1.1199999999999999</v>
      </c>
      <c r="L887" s="45">
        <f>54.1/100*80</f>
        <v>43.28</v>
      </c>
      <c r="M887" s="45">
        <f>181.8/100*80</f>
        <v>145.44</v>
      </c>
      <c r="N887" s="45">
        <f>25.5/100*80</f>
        <v>20.399999999999999</v>
      </c>
      <c r="O887" s="45">
        <f>2.82/100*80</f>
        <v>2.2559999999999998</v>
      </c>
    </row>
    <row r="888" spans="1:15" ht="15.75" x14ac:dyDescent="0.25">
      <c r="A888" s="45"/>
      <c r="B888" s="45" t="s">
        <v>93</v>
      </c>
      <c r="C888" s="45">
        <f>11/100*80</f>
        <v>8.8000000000000007</v>
      </c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</row>
    <row r="889" spans="1:15" ht="15.75" x14ac:dyDescent="0.25">
      <c r="A889" s="45"/>
      <c r="B889" s="45" t="s">
        <v>41</v>
      </c>
      <c r="C889" s="45">
        <f>2/100*80</f>
        <v>1.6</v>
      </c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</row>
    <row r="890" spans="1:15" ht="15.75" x14ac:dyDescent="0.25">
      <c r="A890" s="45"/>
      <c r="B890" s="45" t="s">
        <v>216</v>
      </c>
      <c r="C890" s="45">
        <f>82/100*80</f>
        <v>65.599999999999994</v>
      </c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</row>
    <row r="891" spans="1:15" ht="15.75" x14ac:dyDescent="0.25">
      <c r="A891" s="45"/>
      <c r="B891" s="45" t="s">
        <v>25</v>
      </c>
      <c r="C891" s="45">
        <f>23/100*80</f>
        <v>18.400000000000002</v>
      </c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</row>
    <row r="892" spans="1:15" ht="15.75" x14ac:dyDescent="0.25">
      <c r="A892" s="45"/>
      <c r="B892" s="45" t="s">
        <v>27</v>
      </c>
      <c r="C892" s="45">
        <f>19/100*80</f>
        <v>15.2</v>
      </c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</row>
    <row r="893" spans="1:15" ht="31.5" x14ac:dyDescent="0.25">
      <c r="A893" s="45">
        <v>390</v>
      </c>
      <c r="B893" s="44" t="s">
        <v>217</v>
      </c>
      <c r="C893" s="45">
        <v>150</v>
      </c>
      <c r="D893" s="45">
        <f>22.5/225*150</f>
        <v>15</v>
      </c>
      <c r="E893" s="45">
        <f>5.1/225*150</f>
        <v>3.4</v>
      </c>
      <c r="F893" s="45">
        <f>42.9/225*150</f>
        <v>28.599999999999998</v>
      </c>
      <c r="G893" s="45">
        <v>205.33</v>
      </c>
      <c r="H893" s="45">
        <f>0.48/225*150</f>
        <v>0.32</v>
      </c>
      <c r="I893" s="45">
        <v>1.33</v>
      </c>
      <c r="J893" s="45">
        <v>13.33</v>
      </c>
      <c r="K893" s="45">
        <f>0.6/225*150</f>
        <v>0.39999999999999997</v>
      </c>
      <c r="L893" s="45">
        <v>71.53</v>
      </c>
      <c r="M893" s="45">
        <f>241.5/225*150</f>
        <v>161</v>
      </c>
      <c r="N893" s="45">
        <v>61.73</v>
      </c>
      <c r="O893" s="45">
        <v>4.8</v>
      </c>
    </row>
    <row r="894" spans="1:15" ht="15.75" x14ac:dyDescent="0.25">
      <c r="A894" s="45"/>
      <c r="B894" s="45" t="s">
        <v>36</v>
      </c>
      <c r="C894" s="45">
        <v>26.86</v>
      </c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</row>
    <row r="895" spans="1:15" ht="15.75" x14ac:dyDescent="0.25">
      <c r="A895" s="45"/>
      <c r="B895" s="45" t="s">
        <v>23</v>
      </c>
      <c r="C895" s="45">
        <v>3.33</v>
      </c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</row>
    <row r="896" spans="1:15" ht="15.75" x14ac:dyDescent="0.25">
      <c r="A896" s="45"/>
      <c r="B896" s="45" t="s">
        <v>47</v>
      </c>
      <c r="C896" s="45">
        <v>1.33</v>
      </c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</row>
    <row r="897" spans="1:15" ht="15.75" x14ac:dyDescent="0.25">
      <c r="A897" s="45"/>
      <c r="B897" s="45" t="s">
        <v>83</v>
      </c>
      <c r="C897" s="45">
        <v>66.930000000000007</v>
      </c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</row>
    <row r="898" spans="1:15" ht="15.75" x14ac:dyDescent="0.25">
      <c r="A898" s="45">
        <v>492</v>
      </c>
      <c r="B898" s="44" t="s">
        <v>362</v>
      </c>
      <c r="C898" s="45">
        <v>200</v>
      </c>
      <c r="D898" s="45">
        <v>0.1</v>
      </c>
      <c r="E898" s="45">
        <v>0.1</v>
      </c>
      <c r="F898" s="45">
        <v>10.9</v>
      </c>
      <c r="G898" s="45">
        <v>45</v>
      </c>
      <c r="H898" s="45">
        <v>0.01</v>
      </c>
      <c r="I898" s="45">
        <v>8.6</v>
      </c>
      <c r="J898" s="45">
        <v>0</v>
      </c>
      <c r="K898" s="45">
        <v>0.1</v>
      </c>
      <c r="L898" s="45">
        <v>5.5</v>
      </c>
      <c r="M898" s="45">
        <v>4.3</v>
      </c>
      <c r="N898" s="45">
        <v>3.9</v>
      </c>
      <c r="O898" s="45">
        <v>0.38</v>
      </c>
    </row>
    <row r="899" spans="1:15" ht="15.75" x14ac:dyDescent="0.25">
      <c r="A899" s="45"/>
      <c r="B899" s="45" t="s">
        <v>363</v>
      </c>
      <c r="C899" s="45">
        <v>20</v>
      </c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</row>
    <row r="900" spans="1:15" ht="15.75" x14ac:dyDescent="0.25">
      <c r="A900" s="45"/>
      <c r="B900" s="45" t="s">
        <v>22</v>
      </c>
      <c r="C900" s="45">
        <v>10</v>
      </c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</row>
    <row r="901" spans="1:15" ht="15.75" x14ac:dyDescent="0.25">
      <c r="A901" s="45"/>
      <c r="B901" s="45" t="s">
        <v>42</v>
      </c>
      <c r="C901" s="45">
        <v>10</v>
      </c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</row>
    <row r="902" spans="1:15" ht="15.75" x14ac:dyDescent="0.25">
      <c r="A902" s="45"/>
      <c r="B902" s="44" t="s">
        <v>107</v>
      </c>
      <c r="C902" s="45">
        <v>40</v>
      </c>
      <c r="D902" s="45">
        <v>3.04</v>
      </c>
      <c r="E902" s="45">
        <v>0.32</v>
      </c>
      <c r="F902" s="45">
        <v>19.68</v>
      </c>
      <c r="G902" s="45">
        <v>94</v>
      </c>
      <c r="H902" s="45">
        <v>0.04</v>
      </c>
      <c r="I902" s="45">
        <v>0</v>
      </c>
      <c r="J902" s="45">
        <v>0</v>
      </c>
      <c r="K902" s="45">
        <v>0.44</v>
      </c>
      <c r="L902" s="45">
        <v>8</v>
      </c>
      <c r="M902" s="45">
        <v>26</v>
      </c>
      <c r="N902" s="45">
        <v>5.6</v>
      </c>
      <c r="O902" s="45">
        <v>0.44</v>
      </c>
    </row>
    <row r="903" spans="1:15" ht="15.75" x14ac:dyDescent="0.25">
      <c r="A903" s="45"/>
      <c r="B903" s="44" t="s">
        <v>73</v>
      </c>
      <c r="C903" s="45">
        <v>30</v>
      </c>
      <c r="D903" s="45">
        <v>2.64</v>
      </c>
      <c r="E903" s="45">
        <v>0.48</v>
      </c>
      <c r="F903" s="45">
        <v>13.36</v>
      </c>
      <c r="G903" s="45">
        <v>69.599999999999994</v>
      </c>
      <c r="H903" s="45">
        <v>7.0000000000000007E-2</v>
      </c>
      <c r="I903" s="45">
        <v>0</v>
      </c>
      <c r="J903" s="45">
        <v>0</v>
      </c>
      <c r="K903" s="45">
        <v>0.56000000000000005</v>
      </c>
      <c r="L903" s="45">
        <v>14</v>
      </c>
      <c r="M903" s="45">
        <v>63.2</v>
      </c>
      <c r="N903" s="45">
        <v>18.8</v>
      </c>
      <c r="O903" s="45">
        <v>1.56</v>
      </c>
    </row>
    <row r="904" spans="1:15" ht="15.75" x14ac:dyDescent="0.25">
      <c r="A904" s="45"/>
      <c r="B904" s="44" t="s">
        <v>374</v>
      </c>
      <c r="C904" s="45"/>
      <c r="D904" s="44">
        <f t="shared" ref="D904:O904" si="46">D905+D909+D916+D923+D928+D931+D932</f>
        <v>37.620000000000005</v>
      </c>
      <c r="E904" s="44">
        <f t="shared" si="46"/>
        <v>19.78</v>
      </c>
      <c r="F904" s="44">
        <f t="shared" si="46"/>
        <v>90.284999999999997</v>
      </c>
      <c r="G904" s="44">
        <f t="shared" si="46"/>
        <v>689.75</v>
      </c>
      <c r="H904" s="44">
        <f t="shared" si="46"/>
        <v>0.67886363636363645</v>
      </c>
      <c r="I904" s="44">
        <f t="shared" si="46"/>
        <v>133.66</v>
      </c>
      <c r="J904" s="44">
        <f t="shared" si="46"/>
        <v>60</v>
      </c>
      <c r="K904" s="44">
        <f t="shared" si="46"/>
        <v>5.3550000000000004</v>
      </c>
      <c r="L904" s="44">
        <f t="shared" si="46"/>
        <v>143.86000000000001</v>
      </c>
      <c r="M904" s="44">
        <f t="shared" si="46"/>
        <v>611.87500000000011</v>
      </c>
      <c r="N904" s="44">
        <f t="shared" si="46"/>
        <v>135.47499999999999</v>
      </c>
      <c r="O904" s="44">
        <f t="shared" si="46"/>
        <v>10.1515</v>
      </c>
    </row>
    <row r="905" spans="1:15" ht="15.75" x14ac:dyDescent="0.25">
      <c r="A905" s="45">
        <v>21</v>
      </c>
      <c r="B905" s="44" t="s">
        <v>322</v>
      </c>
      <c r="C905" s="45">
        <v>60</v>
      </c>
      <c r="D905" s="45">
        <v>0.72</v>
      </c>
      <c r="E905" s="45">
        <v>3.66</v>
      </c>
      <c r="F905" s="45">
        <v>6.72</v>
      </c>
      <c r="G905" s="45">
        <v>62.4</v>
      </c>
      <c r="H905" s="45">
        <v>0.03</v>
      </c>
      <c r="I905" s="45">
        <v>1.86</v>
      </c>
      <c r="J905" s="45">
        <v>0</v>
      </c>
      <c r="K905" s="45">
        <v>2.34</v>
      </c>
      <c r="L905" s="45">
        <v>14.64</v>
      </c>
      <c r="M905" s="45">
        <v>29.7</v>
      </c>
      <c r="N905" s="45">
        <v>20.399999999999999</v>
      </c>
      <c r="O905" s="45">
        <v>0.38400000000000001</v>
      </c>
    </row>
    <row r="906" spans="1:15" ht="15.75" x14ac:dyDescent="0.25">
      <c r="A906" s="45"/>
      <c r="B906" s="45" t="s">
        <v>37</v>
      </c>
      <c r="C906" s="45">
        <v>53.8</v>
      </c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</row>
    <row r="907" spans="1:15" ht="15.75" x14ac:dyDescent="0.25">
      <c r="A907" s="45"/>
      <c r="B907" s="45" t="s">
        <v>22</v>
      </c>
      <c r="C907" s="45">
        <v>3</v>
      </c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</row>
    <row r="908" spans="1:15" ht="15.75" x14ac:dyDescent="0.25">
      <c r="A908" s="45"/>
      <c r="B908" s="45" t="s">
        <v>41</v>
      </c>
      <c r="C908" s="45">
        <v>3.6</v>
      </c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</row>
    <row r="909" spans="1:15" ht="15.75" x14ac:dyDescent="0.25">
      <c r="A909" s="45">
        <v>120</v>
      </c>
      <c r="B909" s="44" t="s">
        <v>218</v>
      </c>
      <c r="C909" s="45">
        <v>250</v>
      </c>
      <c r="D909" s="45">
        <v>11.07</v>
      </c>
      <c r="E909" s="45">
        <v>3.92</v>
      </c>
      <c r="F909" s="45">
        <f>64.3/1000*250</f>
        <v>16.074999999999999</v>
      </c>
      <c r="G909" s="45">
        <f>575/1000*250</f>
        <v>143.75</v>
      </c>
      <c r="H909" s="45">
        <f>0.69/1000*250</f>
        <v>0.17249999999999999</v>
      </c>
      <c r="I909" s="45">
        <f>48.3/100*250</f>
        <v>120.75</v>
      </c>
      <c r="J909" s="45">
        <f>94.2/1000*250</f>
        <v>23.55</v>
      </c>
      <c r="K909" s="45">
        <f>2.9/1000*250</f>
        <v>0.72499999999999998</v>
      </c>
      <c r="L909" s="45">
        <f>179.4/1000*250</f>
        <v>44.85</v>
      </c>
      <c r="M909" s="45">
        <f>628.5/1000*250</f>
        <v>157.125</v>
      </c>
      <c r="N909" s="45">
        <f>175.9/1000*250</f>
        <v>43.975000000000001</v>
      </c>
      <c r="O909" s="45">
        <f>5.71/1000*250</f>
        <v>1.4275</v>
      </c>
    </row>
    <row r="910" spans="1:15" ht="15.75" x14ac:dyDescent="0.25">
      <c r="A910" s="45"/>
      <c r="B910" s="45" t="s">
        <v>77</v>
      </c>
      <c r="C910" s="45">
        <f>450/1000*250</f>
        <v>112.5</v>
      </c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</row>
    <row r="911" spans="1:15" ht="15.75" x14ac:dyDescent="0.25">
      <c r="A911" s="45"/>
      <c r="B911" s="45" t="s">
        <v>36</v>
      </c>
      <c r="C911" s="45">
        <f>42/1000*250</f>
        <v>10.5</v>
      </c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</row>
    <row r="912" spans="1:15" ht="15.75" x14ac:dyDescent="0.25">
      <c r="A912" s="45"/>
      <c r="B912" s="45" t="s">
        <v>37</v>
      </c>
      <c r="C912" s="45">
        <f>39/1000*250</f>
        <v>9.75</v>
      </c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</row>
    <row r="913" spans="1:15" ht="15.75" x14ac:dyDescent="0.25">
      <c r="A913" s="45"/>
      <c r="B913" s="45" t="s">
        <v>23</v>
      </c>
      <c r="C913" s="45">
        <v>5</v>
      </c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</row>
    <row r="914" spans="1:15" ht="15.75" x14ac:dyDescent="0.25">
      <c r="A914" s="45"/>
      <c r="B914" s="45" t="s">
        <v>47</v>
      </c>
      <c r="C914" s="45">
        <v>2</v>
      </c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</row>
    <row r="915" spans="1:15" ht="15.75" x14ac:dyDescent="0.25">
      <c r="A915" s="45"/>
      <c r="B915" s="45" t="s">
        <v>283</v>
      </c>
      <c r="C915" s="45">
        <f>218.2/1000*250</f>
        <v>54.55</v>
      </c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</row>
    <row r="916" spans="1:15" ht="31.5" x14ac:dyDescent="0.25">
      <c r="A916" s="45">
        <v>356</v>
      </c>
      <c r="B916" s="44" t="s">
        <v>219</v>
      </c>
      <c r="C916" s="45">
        <v>100</v>
      </c>
      <c r="D916" s="45">
        <f>18.59/110*100</f>
        <v>16.900000000000002</v>
      </c>
      <c r="E916" s="45">
        <f>5.83/110*100</f>
        <v>5.3</v>
      </c>
      <c r="F916" s="45">
        <f>15.62/110*100</f>
        <v>14.2</v>
      </c>
      <c r="G916" s="45">
        <f>189.2/110*100</f>
        <v>172</v>
      </c>
      <c r="H916" s="45">
        <f>0.26/110*100</f>
        <v>0.23636363636363639</v>
      </c>
      <c r="I916" s="45">
        <f>7.37/110*100</f>
        <v>6.7</v>
      </c>
      <c r="J916" s="45">
        <f>7.26/110*100</f>
        <v>6.6000000000000005</v>
      </c>
      <c r="K916" s="45">
        <f>1.21/110*100</f>
        <v>1.0999999999999999</v>
      </c>
      <c r="L916" s="45">
        <v>20.72</v>
      </c>
      <c r="M916" s="45">
        <f>282.15/110*100</f>
        <v>256.5</v>
      </c>
      <c r="N916" s="45">
        <f>22.44/110*100</f>
        <v>20.400000000000002</v>
      </c>
      <c r="O916" s="45">
        <v>5.01</v>
      </c>
    </row>
    <row r="917" spans="1:15" ht="15.75" x14ac:dyDescent="0.25">
      <c r="A917" s="45"/>
      <c r="B917" s="45" t="s">
        <v>220</v>
      </c>
      <c r="C917" s="45">
        <f>102.3/110*100</f>
        <v>93</v>
      </c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</row>
    <row r="918" spans="1:15" ht="15.75" x14ac:dyDescent="0.25">
      <c r="A918" s="45"/>
      <c r="B918" s="45" t="s">
        <v>41</v>
      </c>
      <c r="C918" s="45">
        <f>8.8/110*100</f>
        <v>8</v>
      </c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</row>
    <row r="919" spans="1:15" ht="15.75" x14ac:dyDescent="0.25">
      <c r="A919" s="45"/>
      <c r="B919" s="45" t="s">
        <v>35</v>
      </c>
      <c r="C919" s="45">
        <f>19.91/110*100</f>
        <v>18.099999999999998</v>
      </c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</row>
    <row r="920" spans="1:15" ht="15.75" x14ac:dyDescent="0.25">
      <c r="A920" s="45"/>
      <c r="B920" s="45" t="s">
        <v>47</v>
      </c>
      <c r="C920" s="45">
        <f>0.77/110*100</f>
        <v>0.70000000000000007</v>
      </c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</row>
    <row r="921" spans="1:15" ht="15.75" x14ac:dyDescent="0.25">
      <c r="A921" s="45"/>
      <c r="B921" s="45" t="s">
        <v>46</v>
      </c>
      <c r="C921" s="45">
        <f>0.9/100*110</f>
        <v>0.9900000000000001</v>
      </c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</row>
    <row r="922" spans="1:15" ht="15.75" x14ac:dyDescent="0.25">
      <c r="A922" s="45"/>
      <c r="B922" s="45" t="s">
        <v>23</v>
      </c>
      <c r="C922" s="45">
        <f>0.99/110*100</f>
        <v>0.89999999999999991</v>
      </c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</row>
    <row r="923" spans="1:15" ht="15.75" x14ac:dyDescent="0.25">
      <c r="A923" s="45">
        <v>377</v>
      </c>
      <c r="B923" s="44" t="s">
        <v>167</v>
      </c>
      <c r="C923" s="45">
        <v>150</v>
      </c>
      <c r="D923" s="45">
        <v>3.15</v>
      </c>
      <c r="E923" s="45">
        <v>6</v>
      </c>
      <c r="F923" s="45">
        <v>9.15</v>
      </c>
      <c r="G923" s="45">
        <v>102</v>
      </c>
      <c r="H923" s="45">
        <v>0.12</v>
      </c>
      <c r="I923" s="45">
        <v>3.75</v>
      </c>
      <c r="J923" s="45">
        <v>29.85</v>
      </c>
      <c r="K923" s="45">
        <v>0.15</v>
      </c>
      <c r="L923" s="45">
        <v>38.25</v>
      </c>
      <c r="M923" s="45">
        <v>77.25</v>
      </c>
      <c r="N923" s="45">
        <v>24.6</v>
      </c>
      <c r="O923" s="45">
        <v>0.87</v>
      </c>
    </row>
    <row r="924" spans="1:15" ht="15.75" x14ac:dyDescent="0.25">
      <c r="A924" s="45"/>
      <c r="B924" s="45" t="s">
        <v>23</v>
      </c>
      <c r="C924" s="45">
        <v>6.75</v>
      </c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</row>
    <row r="925" spans="1:15" ht="15.75" x14ac:dyDescent="0.25">
      <c r="A925" s="45"/>
      <c r="B925" s="45" t="s">
        <v>47</v>
      </c>
      <c r="C925" s="45">
        <v>0.6</v>
      </c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</row>
    <row r="926" spans="1:15" ht="15.75" x14ac:dyDescent="0.25">
      <c r="A926" s="45"/>
      <c r="B926" s="45" t="s">
        <v>77</v>
      </c>
      <c r="C926" s="45">
        <v>126.45</v>
      </c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</row>
    <row r="927" spans="1:15" ht="15.75" x14ac:dyDescent="0.25">
      <c r="A927" s="45"/>
      <c r="B927" s="45" t="s">
        <v>25</v>
      </c>
      <c r="C927" s="45">
        <v>22.5</v>
      </c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</row>
    <row r="928" spans="1:15" ht="15.75" x14ac:dyDescent="0.25">
      <c r="A928" s="45">
        <v>486</v>
      </c>
      <c r="B928" s="44" t="s">
        <v>364</v>
      </c>
      <c r="C928" s="45">
        <v>200</v>
      </c>
      <c r="D928" s="45">
        <v>0.1</v>
      </c>
      <c r="E928" s="45">
        <v>0.1</v>
      </c>
      <c r="F928" s="45">
        <v>11.1</v>
      </c>
      <c r="G928" s="45">
        <v>46</v>
      </c>
      <c r="H928" s="45">
        <v>0.01</v>
      </c>
      <c r="I928" s="45">
        <v>0.6</v>
      </c>
      <c r="J928" s="45">
        <v>0</v>
      </c>
      <c r="K928" s="45">
        <v>0.04</v>
      </c>
      <c r="L928" s="45">
        <v>3.4</v>
      </c>
      <c r="M928" s="45">
        <v>2.1</v>
      </c>
      <c r="N928" s="45">
        <v>1.7</v>
      </c>
      <c r="O928" s="45">
        <v>0.46</v>
      </c>
    </row>
    <row r="929" spans="1:15" ht="15.75" x14ac:dyDescent="0.25">
      <c r="A929" s="45"/>
      <c r="B929" s="45" t="s">
        <v>365</v>
      </c>
      <c r="C929" s="45">
        <v>20</v>
      </c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</row>
    <row r="930" spans="1:15" ht="15.75" x14ac:dyDescent="0.25">
      <c r="A930" s="45"/>
      <c r="B930" s="45" t="s">
        <v>22</v>
      </c>
      <c r="C930" s="45">
        <v>10</v>
      </c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</row>
    <row r="931" spans="1:15" ht="15.75" x14ac:dyDescent="0.25">
      <c r="A931" s="45"/>
      <c r="B931" s="44" t="s">
        <v>107</v>
      </c>
      <c r="C931" s="45">
        <v>40</v>
      </c>
      <c r="D931" s="45">
        <v>3.04</v>
      </c>
      <c r="E931" s="45">
        <v>0.32</v>
      </c>
      <c r="F931" s="45">
        <v>19.68</v>
      </c>
      <c r="G931" s="45">
        <v>94</v>
      </c>
      <c r="H931" s="45">
        <v>0.04</v>
      </c>
      <c r="I931" s="45">
        <v>0</v>
      </c>
      <c r="J931" s="45">
        <v>0</v>
      </c>
      <c r="K931" s="45">
        <v>0.44</v>
      </c>
      <c r="L931" s="45">
        <v>8</v>
      </c>
      <c r="M931" s="45">
        <v>26</v>
      </c>
      <c r="N931" s="45">
        <v>5.6</v>
      </c>
      <c r="O931" s="45">
        <v>0.44</v>
      </c>
    </row>
    <row r="932" spans="1:15" ht="15.75" x14ac:dyDescent="0.25">
      <c r="A932" s="45"/>
      <c r="B932" s="44" t="s">
        <v>73</v>
      </c>
      <c r="C932" s="45">
        <v>30</v>
      </c>
      <c r="D932" s="45">
        <v>2.64</v>
      </c>
      <c r="E932" s="45">
        <v>0.48</v>
      </c>
      <c r="F932" s="45">
        <v>13.36</v>
      </c>
      <c r="G932" s="45">
        <v>69.599999999999994</v>
      </c>
      <c r="H932" s="45">
        <v>7.0000000000000007E-2</v>
      </c>
      <c r="I932" s="45">
        <v>0</v>
      </c>
      <c r="J932" s="45">
        <v>0</v>
      </c>
      <c r="K932" s="45">
        <v>0.56000000000000005</v>
      </c>
      <c r="L932" s="45">
        <v>14</v>
      </c>
      <c r="M932" s="45">
        <v>63.2</v>
      </c>
      <c r="N932" s="45">
        <v>18.8</v>
      </c>
      <c r="O932" s="45">
        <v>1.56</v>
      </c>
    </row>
    <row r="933" spans="1:15" s="7" customFormat="1" ht="15.75" x14ac:dyDescent="0.25">
      <c r="A933" s="44"/>
      <c r="B933" s="44" t="s">
        <v>375</v>
      </c>
      <c r="C933" s="44"/>
      <c r="D933" s="44">
        <f>D934+D935</f>
        <v>1.44</v>
      </c>
      <c r="E933" s="44">
        <f t="shared" ref="E933:O933" si="47">E934+E935</f>
        <v>1.19</v>
      </c>
      <c r="F933" s="44">
        <f t="shared" si="47"/>
        <v>23.39</v>
      </c>
      <c r="G933" s="44">
        <f t="shared" si="47"/>
        <v>241</v>
      </c>
      <c r="H933" s="44">
        <f t="shared" si="47"/>
        <v>0.03</v>
      </c>
      <c r="I933" s="44">
        <f t="shared" si="47"/>
        <v>8</v>
      </c>
      <c r="J933" s="44">
        <f t="shared" si="47"/>
        <v>0</v>
      </c>
      <c r="K933" s="44">
        <f t="shared" si="47"/>
        <v>0.21</v>
      </c>
      <c r="L933" s="44">
        <f t="shared" si="47"/>
        <v>24.8</v>
      </c>
      <c r="M933" s="44">
        <f t="shared" si="47"/>
        <v>10.8</v>
      </c>
      <c r="N933" s="44">
        <f t="shared" si="47"/>
        <v>3</v>
      </c>
      <c r="O933" s="44">
        <f t="shared" si="47"/>
        <v>1.05</v>
      </c>
    </row>
    <row r="934" spans="1:15" ht="15.75" x14ac:dyDescent="0.25">
      <c r="A934" s="45"/>
      <c r="B934" s="44" t="s">
        <v>136</v>
      </c>
      <c r="C934" s="45">
        <v>30</v>
      </c>
      <c r="D934" s="45">
        <v>0.84</v>
      </c>
      <c r="E934" s="45">
        <v>0.99</v>
      </c>
      <c r="F934" s="45">
        <v>23.19</v>
      </c>
      <c r="G934" s="45">
        <v>105</v>
      </c>
      <c r="H934" s="45">
        <v>0.01</v>
      </c>
      <c r="I934" s="45">
        <v>0</v>
      </c>
      <c r="J934" s="45">
        <v>0</v>
      </c>
      <c r="K934" s="45">
        <v>0.21</v>
      </c>
      <c r="L934" s="45">
        <v>4.8</v>
      </c>
      <c r="M934" s="45">
        <v>10.8</v>
      </c>
      <c r="N934" s="45">
        <v>3</v>
      </c>
      <c r="O934" s="45">
        <v>0.45</v>
      </c>
    </row>
    <row r="935" spans="1:15" ht="15.75" x14ac:dyDescent="0.25">
      <c r="A935" s="45"/>
      <c r="B935" s="44" t="s">
        <v>221</v>
      </c>
      <c r="C935" s="45">
        <v>200</v>
      </c>
      <c r="D935" s="45">
        <v>0.6</v>
      </c>
      <c r="E935" s="45">
        <v>0.2</v>
      </c>
      <c r="F935" s="45">
        <v>0.2</v>
      </c>
      <c r="G935" s="45">
        <v>136</v>
      </c>
      <c r="H935" s="45">
        <v>0.02</v>
      </c>
      <c r="I935" s="45">
        <v>8</v>
      </c>
      <c r="J935" s="45">
        <v>0</v>
      </c>
      <c r="K935" s="45">
        <v>0</v>
      </c>
      <c r="L935" s="45">
        <v>20</v>
      </c>
      <c r="M935" s="45">
        <v>0</v>
      </c>
      <c r="N935" s="45">
        <v>0</v>
      </c>
      <c r="O935" s="45">
        <v>0.6</v>
      </c>
    </row>
    <row r="936" spans="1:15" ht="15.75" x14ac:dyDescent="0.25">
      <c r="A936" s="45"/>
      <c r="B936" s="45" t="s">
        <v>222</v>
      </c>
      <c r="C936" s="45">
        <v>200</v>
      </c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</row>
    <row r="937" spans="1:15" s="7" customFormat="1" ht="15.75" x14ac:dyDescent="0.25">
      <c r="A937" s="44"/>
      <c r="B937" s="44" t="s">
        <v>66</v>
      </c>
      <c r="C937" s="44"/>
      <c r="D937" s="44">
        <f t="shared" ref="D937:O937" si="48">D859+D876+D904+D933</f>
        <v>105.99</v>
      </c>
      <c r="E937" s="44">
        <f t="shared" si="48"/>
        <v>74.86</v>
      </c>
      <c r="F937" s="44">
        <f t="shared" si="48"/>
        <v>290.755</v>
      </c>
      <c r="G937" s="44">
        <f t="shared" si="48"/>
        <v>2397.83</v>
      </c>
      <c r="H937" s="44">
        <f t="shared" si="48"/>
        <v>1.5868636363636366</v>
      </c>
      <c r="I937" s="44">
        <f t="shared" si="48"/>
        <v>194.14999999999998</v>
      </c>
      <c r="J937" s="44">
        <f t="shared" si="48"/>
        <v>159.41</v>
      </c>
      <c r="K937" s="44">
        <f t="shared" si="48"/>
        <v>21.005000000000003</v>
      </c>
      <c r="L937" s="44">
        <f t="shared" si="48"/>
        <v>465.47</v>
      </c>
      <c r="M937" s="44">
        <f t="shared" si="48"/>
        <v>1365.7149999999999</v>
      </c>
      <c r="N937" s="44">
        <f t="shared" si="48"/>
        <v>380.72500000000002</v>
      </c>
      <c r="O937" s="44">
        <f t="shared" si="48"/>
        <v>28.1675</v>
      </c>
    </row>
    <row r="938" spans="1:15" ht="15.75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</row>
    <row r="939" spans="1:15" ht="15.75" x14ac:dyDescent="0.2">
      <c r="A939" s="60" t="s">
        <v>236</v>
      </c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</row>
    <row r="940" spans="1:15" ht="63" x14ac:dyDescent="0.2">
      <c r="A940" s="49" t="s">
        <v>237</v>
      </c>
      <c r="B940" s="59" t="s">
        <v>238</v>
      </c>
      <c r="C940" s="59"/>
      <c r="D940" s="50" t="s">
        <v>239</v>
      </c>
      <c r="E940" s="50" t="s">
        <v>240</v>
      </c>
      <c r="F940" s="50" t="s">
        <v>241</v>
      </c>
      <c r="G940" s="50" t="s">
        <v>223</v>
      </c>
      <c r="H940" s="50" t="s">
        <v>242</v>
      </c>
      <c r="I940" s="50" t="s">
        <v>243</v>
      </c>
      <c r="J940" s="50" t="s">
        <v>244</v>
      </c>
      <c r="K940" s="50" t="s">
        <v>245</v>
      </c>
      <c r="L940" s="50" t="s">
        <v>246</v>
      </c>
      <c r="M940" s="50" t="s">
        <v>247</v>
      </c>
      <c r="N940" s="50" t="s">
        <v>248</v>
      </c>
      <c r="O940" s="51" t="s">
        <v>249</v>
      </c>
    </row>
    <row r="941" spans="1:15" ht="15.75" x14ac:dyDescent="0.25">
      <c r="A941" s="52">
        <v>1</v>
      </c>
      <c r="B941" s="56" t="s">
        <v>250</v>
      </c>
      <c r="C941" s="56"/>
      <c r="D941" s="53">
        <f t="shared" ref="D941:O941" si="49">D10+D104+D196+D292+D393+D496+D597+D687+D771+D859</f>
        <v>258.95999999999998</v>
      </c>
      <c r="E941" s="53">
        <f t="shared" si="49"/>
        <v>229.45466666666667</v>
      </c>
      <c r="F941" s="53">
        <f t="shared" si="49"/>
        <v>814.19999999999993</v>
      </c>
      <c r="G941" s="53">
        <f t="shared" si="49"/>
        <v>6059.6</v>
      </c>
      <c r="H941" s="53">
        <f t="shared" si="49"/>
        <v>2.452</v>
      </c>
      <c r="I941" s="53">
        <f t="shared" si="49"/>
        <v>60.772999999999996</v>
      </c>
      <c r="J941" s="53">
        <f t="shared" si="49"/>
        <v>993.14940766550524</v>
      </c>
      <c r="K941" s="53">
        <f t="shared" si="49"/>
        <v>25.361061712010613</v>
      </c>
      <c r="L941" s="53">
        <f t="shared" si="49"/>
        <v>3141.15</v>
      </c>
      <c r="M941" s="53">
        <f t="shared" si="49"/>
        <v>4065.2600000000007</v>
      </c>
      <c r="N941" s="53">
        <f t="shared" si="49"/>
        <v>775.61999999999989</v>
      </c>
      <c r="O941" s="53">
        <f t="shared" si="49"/>
        <v>39.594928998009287</v>
      </c>
    </row>
    <row r="942" spans="1:15" ht="15.75" x14ac:dyDescent="0.25">
      <c r="A942" s="52">
        <v>3</v>
      </c>
      <c r="B942" s="56" t="s">
        <v>251</v>
      </c>
      <c r="C942" s="56"/>
      <c r="D942" s="53">
        <f t="shared" ref="D942:O942" si="50">D27+D125+D220+D309+D413+D521+D614+D708+D784+D876</f>
        <v>330.20000000000005</v>
      </c>
      <c r="E942" s="53">
        <f t="shared" si="50"/>
        <v>275.93700000000001</v>
      </c>
      <c r="F942" s="53">
        <f t="shared" si="50"/>
        <v>924.8599999999999</v>
      </c>
      <c r="G942" s="53">
        <f t="shared" si="50"/>
        <v>7520.93</v>
      </c>
      <c r="H942" s="53">
        <f t="shared" si="50"/>
        <v>4.3101666666666674</v>
      </c>
      <c r="I942" s="53">
        <f t="shared" si="50"/>
        <v>293.005</v>
      </c>
      <c r="J942" s="53">
        <f t="shared" si="50"/>
        <v>808.63885714285698</v>
      </c>
      <c r="K942" s="53">
        <f t="shared" si="50"/>
        <v>67.975000000000009</v>
      </c>
      <c r="L942" s="53">
        <f t="shared" si="50"/>
        <v>1529.88</v>
      </c>
      <c r="M942" s="53">
        <f t="shared" si="50"/>
        <v>4478.6730000000007</v>
      </c>
      <c r="N942" s="53">
        <f t="shared" si="50"/>
        <v>1337.1547619047619</v>
      </c>
      <c r="O942" s="53">
        <f t="shared" si="50"/>
        <v>86.462500000000006</v>
      </c>
    </row>
    <row r="943" spans="1:15" ht="15.75" x14ac:dyDescent="0.25">
      <c r="A943" s="52">
        <v>5</v>
      </c>
      <c r="B943" s="56" t="s">
        <v>252</v>
      </c>
      <c r="C943" s="56"/>
      <c r="D943" s="53">
        <f t="shared" ref="D943:O943" si="51">D63+D153+D252+D346+D443+D551+D639+D731+D816+D904</f>
        <v>345.76000000000005</v>
      </c>
      <c r="E943" s="53">
        <f t="shared" si="51"/>
        <v>262.93000000000006</v>
      </c>
      <c r="F943" s="53">
        <f t="shared" si="51"/>
        <v>880.88066666666657</v>
      </c>
      <c r="G943" s="53">
        <f t="shared" si="51"/>
        <v>7254.005000000001</v>
      </c>
      <c r="H943" s="53">
        <f t="shared" si="51"/>
        <v>25.262746969696966</v>
      </c>
      <c r="I943" s="53">
        <f t="shared" si="51"/>
        <v>407.61090476190475</v>
      </c>
      <c r="J943" s="53">
        <f t="shared" si="51"/>
        <v>589.54333333333341</v>
      </c>
      <c r="K943" s="53">
        <f t="shared" si="51"/>
        <v>61.765333333333331</v>
      </c>
      <c r="L943" s="53">
        <f t="shared" si="51"/>
        <v>1368.7786666666666</v>
      </c>
      <c r="M943" s="53">
        <f t="shared" si="51"/>
        <v>4443.7166666666662</v>
      </c>
      <c r="N943" s="53">
        <f t="shared" si="51"/>
        <v>1200.5116666666665</v>
      </c>
      <c r="O943" s="53">
        <f t="shared" si="51"/>
        <v>76.970666666666659</v>
      </c>
    </row>
    <row r="944" spans="1:15" ht="15.75" x14ac:dyDescent="0.25">
      <c r="A944" s="52">
        <v>4</v>
      </c>
      <c r="B944" s="56" t="s">
        <v>253</v>
      </c>
      <c r="C944" s="56"/>
      <c r="D944" s="53">
        <f t="shared" ref="D944:O944" si="52">D94+D186+D276+D382+D478+D587+D670+D760+D849+D933</f>
        <v>79.319999999999993</v>
      </c>
      <c r="E944" s="53">
        <f t="shared" si="52"/>
        <v>66.389999999999986</v>
      </c>
      <c r="F944" s="53">
        <f t="shared" si="52"/>
        <v>247.59000000000003</v>
      </c>
      <c r="G944" s="53">
        <f t="shared" si="52"/>
        <v>3144.59</v>
      </c>
      <c r="H944" s="53">
        <f t="shared" si="52"/>
        <v>1.5200000000000002</v>
      </c>
      <c r="I944" s="53">
        <f t="shared" si="52"/>
        <v>43.31</v>
      </c>
      <c r="J944" s="53">
        <f t="shared" si="52"/>
        <v>9.26</v>
      </c>
      <c r="K944" s="53">
        <f t="shared" si="52"/>
        <v>4.66</v>
      </c>
      <c r="L944" s="53">
        <f t="shared" si="52"/>
        <v>1483.21</v>
      </c>
      <c r="M944" s="53">
        <f t="shared" si="52"/>
        <v>876.59999999999991</v>
      </c>
      <c r="N944" s="53">
        <f t="shared" si="52"/>
        <v>140.59999999999997</v>
      </c>
      <c r="O944" s="53">
        <f t="shared" si="52"/>
        <v>9.39</v>
      </c>
    </row>
    <row r="945" spans="1:15" ht="16.5" thickBot="1" x14ac:dyDescent="0.3">
      <c r="A945" s="54"/>
      <c r="B945" s="57" t="s">
        <v>254</v>
      </c>
      <c r="C945" s="57"/>
      <c r="D945" s="55">
        <f>SUM(D941:D944)</f>
        <v>1014.24</v>
      </c>
      <c r="E945" s="55">
        <f t="shared" ref="E945:O945" si="53">SUM(E941:E944)</f>
        <v>834.7116666666667</v>
      </c>
      <c r="F945" s="55">
        <f t="shared" si="53"/>
        <v>2867.5306666666665</v>
      </c>
      <c r="G945" s="55">
        <f t="shared" si="53"/>
        <v>23979.125000000004</v>
      </c>
      <c r="H945" s="55">
        <f t="shared" si="53"/>
        <v>33.544913636363638</v>
      </c>
      <c r="I945" s="55">
        <f t="shared" si="53"/>
        <v>804.69890476190471</v>
      </c>
      <c r="J945" s="55">
        <f t="shared" si="53"/>
        <v>2400.5915981416961</v>
      </c>
      <c r="K945" s="55">
        <f t="shared" si="53"/>
        <v>159.76139504534396</v>
      </c>
      <c r="L945" s="55">
        <f t="shared" si="53"/>
        <v>7523.0186666666677</v>
      </c>
      <c r="M945" s="55">
        <f t="shared" si="53"/>
        <v>13864.249666666668</v>
      </c>
      <c r="N945" s="55">
        <f t="shared" si="53"/>
        <v>3453.8864285714285</v>
      </c>
      <c r="O945" s="55">
        <f t="shared" si="53"/>
        <v>212.41809566467595</v>
      </c>
    </row>
    <row r="946" spans="1:15" ht="15.75" x14ac:dyDescent="0.2">
      <c r="A946" s="58" t="s">
        <v>255</v>
      </c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</row>
    <row r="947" spans="1:15" ht="63" x14ac:dyDescent="0.2">
      <c r="A947" s="49" t="s">
        <v>237</v>
      </c>
      <c r="B947" s="59" t="s">
        <v>238</v>
      </c>
      <c r="C947" s="59"/>
      <c r="D947" s="50" t="s">
        <v>239</v>
      </c>
      <c r="E947" s="50" t="s">
        <v>240</v>
      </c>
      <c r="F947" s="50" t="s">
        <v>241</v>
      </c>
      <c r="G947" s="50" t="s">
        <v>223</v>
      </c>
      <c r="H947" s="50" t="s">
        <v>242</v>
      </c>
      <c r="I947" s="50" t="s">
        <v>243</v>
      </c>
      <c r="J947" s="50" t="s">
        <v>244</v>
      </c>
      <c r="K947" s="50" t="s">
        <v>245</v>
      </c>
      <c r="L947" s="50" t="s">
        <v>246</v>
      </c>
      <c r="M947" s="50" t="s">
        <v>247</v>
      </c>
      <c r="N947" s="50" t="s">
        <v>248</v>
      </c>
      <c r="O947" s="51" t="s">
        <v>249</v>
      </c>
    </row>
    <row r="948" spans="1:15" ht="15.75" x14ac:dyDescent="0.25">
      <c r="A948" s="52">
        <v>1</v>
      </c>
      <c r="B948" s="56" t="s">
        <v>250</v>
      </c>
      <c r="C948" s="56"/>
      <c r="D948" s="53">
        <f>D941/10</f>
        <v>25.895999999999997</v>
      </c>
      <c r="E948" s="53">
        <f t="shared" ref="E948:O948" si="54">E941/10</f>
        <v>22.945466666666668</v>
      </c>
      <c r="F948" s="53">
        <f t="shared" si="54"/>
        <v>81.419999999999987</v>
      </c>
      <c r="G948" s="53">
        <f t="shared" si="54"/>
        <v>605.96</v>
      </c>
      <c r="H948" s="53">
        <f t="shared" si="54"/>
        <v>0.2452</v>
      </c>
      <c r="I948" s="53">
        <f t="shared" si="54"/>
        <v>6.0772999999999993</v>
      </c>
      <c r="J948" s="53">
        <f t="shared" si="54"/>
        <v>99.314940766550521</v>
      </c>
      <c r="K948" s="53">
        <f t="shared" si="54"/>
        <v>2.5361061712010615</v>
      </c>
      <c r="L948" s="53">
        <f t="shared" si="54"/>
        <v>314.11500000000001</v>
      </c>
      <c r="M948" s="53">
        <f t="shared" si="54"/>
        <v>406.52600000000007</v>
      </c>
      <c r="N948" s="53">
        <f t="shared" si="54"/>
        <v>77.561999999999983</v>
      </c>
      <c r="O948" s="53">
        <f t="shared" si="54"/>
        <v>3.9594928998009289</v>
      </c>
    </row>
    <row r="949" spans="1:15" ht="15.75" x14ac:dyDescent="0.25">
      <c r="A949" s="52">
        <v>3</v>
      </c>
      <c r="B949" s="56" t="s">
        <v>251</v>
      </c>
      <c r="C949" s="56"/>
      <c r="D949" s="53">
        <f t="shared" ref="D949:O951" si="55">D942/10</f>
        <v>33.020000000000003</v>
      </c>
      <c r="E949" s="53">
        <f t="shared" si="55"/>
        <v>27.593700000000002</v>
      </c>
      <c r="F949" s="53">
        <f t="shared" si="55"/>
        <v>92.48599999999999</v>
      </c>
      <c r="G949" s="53">
        <f t="shared" si="55"/>
        <v>752.09300000000007</v>
      </c>
      <c r="H949" s="53">
        <f t="shared" si="55"/>
        <v>0.43101666666666671</v>
      </c>
      <c r="I949" s="53">
        <f t="shared" si="55"/>
        <v>29.3005</v>
      </c>
      <c r="J949" s="53">
        <f t="shared" si="55"/>
        <v>80.863885714285701</v>
      </c>
      <c r="K949" s="53">
        <f t="shared" si="55"/>
        <v>6.7975000000000012</v>
      </c>
      <c r="L949" s="53">
        <f t="shared" si="55"/>
        <v>152.988</v>
      </c>
      <c r="M949" s="53">
        <f t="shared" si="55"/>
        <v>447.86730000000006</v>
      </c>
      <c r="N949" s="53">
        <f t="shared" si="55"/>
        <v>133.71547619047618</v>
      </c>
      <c r="O949" s="53">
        <f t="shared" si="55"/>
        <v>8.6462500000000002</v>
      </c>
    </row>
    <row r="950" spans="1:15" ht="15.75" x14ac:dyDescent="0.25">
      <c r="A950" s="52">
        <v>5</v>
      </c>
      <c r="B950" s="56" t="s">
        <v>252</v>
      </c>
      <c r="C950" s="56"/>
      <c r="D950" s="53">
        <f t="shared" si="55"/>
        <v>34.576000000000008</v>
      </c>
      <c r="E950" s="53">
        <v>39.158000000000001</v>
      </c>
      <c r="F950" s="53">
        <v>39.158000000000001</v>
      </c>
      <c r="G950" s="53">
        <v>39.158000000000001</v>
      </c>
      <c r="H950" s="53">
        <v>39.158000000000001</v>
      </c>
      <c r="I950" s="53">
        <v>39.158000000000001</v>
      </c>
      <c r="J950" s="53">
        <v>39.158000000000001</v>
      </c>
      <c r="K950" s="53">
        <v>39.158000000000001</v>
      </c>
      <c r="L950" s="53">
        <v>39.158000000000001</v>
      </c>
      <c r="M950" s="53">
        <v>39.158000000000001</v>
      </c>
      <c r="N950" s="53">
        <v>39.158000000000001</v>
      </c>
      <c r="O950" s="53">
        <v>39.158000000000001</v>
      </c>
    </row>
    <row r="951" spans="1:15" ht="15.75" x14ac:dyDescent="0.25">
      <c r="A951" s="52">
        <v>4</v>
      </c>
      <c r="B951" s="56" t="s">
        <v>253</v>
      </c>
      <c r="C951" s="56"/>
      <c r="D951" s="53">
        <f t="shared" si="55"/>
        <v>7.9319999999999995</v>
      </c>
      <c r="E951" s="53">
        <v>7.4960000000000004</v>
      </c>
      <c r="F951" s="53">
        <v>7.4960000000000004</v>
      </c>
      <c r="G951" s="53">
        <v>7.4960000000000004</v>
      </c>
      <c r="H951" s="53">
        <v>7.4960000000000004</v>
      </c>
      <c r="I951" s="53">
        <v>7.4960000000000004</v>
      </c>
      <c r="J951" s="53">
        <v>7.4960000000000004</v>
      </c>
      <c r="K951" s="53">
        <v>7.4960000000000004</v>
      </c>
      <c r="L951" s="53">
        <v>7.4960000000000004</v>
      </c>
      <c r="M951" s="53">
        <v>7.4960000000000004</v>
      </c>
      <c r="N951" s="53">
        <v>7.4960000000000004</v>
      </c>
      <c r="O951" s="53">
        <v>7.4960000000000004</v>
      </c>
    </row>
    <row r="952" spans="1:15" ht="16.5" thickBot="1" x14ac:dyDescent="0.3">
      <c r="A952" s="54"/>
      <c r="B952" s="57" t="s">
        <v>254</v>
      </c>
      <c r="C952" s="57"/>
      <c r="D952" s="55">
        <f>SUM(D948:D951)</f>
        <v>101.42400000000001</v>
      </c>
      <c r="E952" s="55">
        <f t="shared" ref="E952:O952" si="56">SUM(E948:E951)</f>
        <v>97.19316666666667</v>
      </c>
      <c r="F952" s="55">
        <f t="shared" si="56"/>
        <v>220.55999999999997</v>
      </c>
      <c r="G952" s="55">
        <f t="shared" si="56"/>
        <v>1404.7070000000001</v>
      </c>
      <c r="H952" s="55">
        <f t="shared" si="56"/>
        <v>47.330216666666672</v>
      </c>
      <c r="I952" s="55">
        <f t="shared" si="56"/>
        <v>82.03179999999999</v>
      </c>
      <c r="J952" s="55">
        <f t="shared" si="56"/>
        <v>226.83282648083625</v>
      </c>
      <c r="K952" s="55">
        <f t="shared" si="56"/>
        <v>55.987606171201065</v>
      </c>
      <c r="L952" s="55">
        <f t="shared" si="56"/>
        <v>513.75700000000006</v>
      </c>
      <c r="M952" s="55">
        <f t="shared" si="56"/>
        <v>901.04730000000018</v>
      </c>
      <c r="N952" s="55">
        <f t="shared" si="56"/>
        <v>257.93147619047613</v>
      </c>
      <c r="O952" s="55">
        <f t="shared" si="56"/>
        <v>59.259742899800933</v>
      </c>
    </row>
    <row r="953" spans="1:15" ht="15" x14ac:dyDescent="0.25">
      <c r="A953" s="8"/>
      <c r="B953" s="9"/>
      <c r="C953" s="10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1:1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1:1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1:1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1:1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1:1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1:1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1:1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1:14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1:14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1:14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</row>
    <row r="1076" spans="1:14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</row>
    <row r="1077" spans="1:14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</row>
    <row r="1078" spans="1:14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1:14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</row>
    <row r="1080" spans="1:14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1:14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1:14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4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1:14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1:14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</row>
    <row r="1086" spans="1:14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1:14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</row>
    <row r="1088" spans="1:14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1:14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1:14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1:14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1:14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1:14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1:14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1:14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1:14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1:14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1:14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1:14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1:14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1:14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1:14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1:14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</row>
    <row r="1104" spans="1:14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</row>
    <row r="1105" spans="1:14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</row>
    <row r="1106" spans="1:14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1:14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</row>
    <row r="1108" spans="1:14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1:14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4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1:14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1:14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</row>
    <row r="1113" spans="1:14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1:14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1:14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1:14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1:14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1:14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1:14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1:14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1:14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1:14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1:14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1:14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1:14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1:14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1:14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1:14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1:14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</row>
    <row r="1130" spans="1:14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1:14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</row>
    <row r="1132" spans="1:14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</row>
    <row r="1133" spans="1:14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</row>
    <row r="1134" spans="1:14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1:14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</row>
    <row r="1136" spans="1:14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4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</row>
    <row r="1138" spans="1:14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1:14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</row>
    <row r="1140" spans="1:14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</row>
    <row r="1141" spans="1:14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</row>
    <row r="1142" spans="1:14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1:14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</row>
    <row r="1144" spans="1:14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</row>
    <row r="1145" spans="1:14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</row>
    <row r="1146" spans="1:14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1:14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</row>
    <row r="1148" spans="1:14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</row>
    <row r="1149" spans="1:14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</row>
    <row r="1150" spans="1:14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1:14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</row>
    <row r="1152" spans="1:14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</row>
    <row r="1153" spans="1:14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</row>
    <row r="1154" spans="1:14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1:14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</row>
    <row r="1156" spans="1:14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</row>
    <row r="1157" spans="1:14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</row>
    <row r="1158" spans="1:14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1:14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</row>
    <row r="1160" spans="1:14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</row>
    <row r="1161" spans="1:14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</row>
    <row r="1162" spans="1:14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1:14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4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</row>
    <row r="1165" spans="1:14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</row>
    <row r="1166" spans="1:14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1:14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</row>
    <row r="1168" spans="1:14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</row>
    <row r="1169" spans="1:14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1:14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1:14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</row>
    <row r="1172" spans="1:14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</row>
    <row r="1173" spans="1:14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</row>
    <row r="1174" spans="1:14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1:14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</row>
    <row r="1176" spans="1:14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</row>
    <row r="1177" spans="1:14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</row>
    <row r="1178" spans="1:14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</row>
    <row r="1179" spans="1:14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</row>
    <row r="1180" spans="1:14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</row>
    <row r="1181" spans="1:14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1:14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</row>
    <row r="1183" spans="1:14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</row>
    <row r="1184" spans="1:14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</row>
    <row r="1185" spans="1:14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1:14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</row>
    <row r="1187" spans="1:14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</row>
    <row r="1188" spans="1:14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</row>
    <row r="1189" spans="1:14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1:14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4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</row>
    <row r="1192" spans="1:14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</row>
    <row r="1193" spans="1:14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1:14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</row>
    <row r="1195" spans="1:14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</row>
    <row r="1196" spans="1:14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</row>
    <row r="1197" spans="1:14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1:14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</row>
    <row r="1199" spans="1:14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</row>
    <row r="1200" spans="1:14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</row>
    <row r="1201" spans="1:14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</row>
    <row r="1202" spans="1:14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</row>
    <row r="1203" spans="1:14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</row>
    <row r="1204" spans="1:14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</row>
    <row r="1205" spans="1:14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</row>
    <row r="1206" spans="1:14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</row>
    <row r="1207" spans="1:14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</row>
    <row r="1208" spans="1:14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</row>
    <row r="1209" spans="1:14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</row>
    <row r="1210" spans="1:14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</row>
    <row r="1211" spans="1:14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</row>
    <row r="1212" spans="1:14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</row>
    <row r="1213" spans="1:14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</row>
    <row r="1214" spans="1:14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</row>
    <row r="1215" spans="1:14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</row>
    <row r="1216" spans="1:14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</row>
    <row r="1217" spans="1:14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4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</row>
    <row r="1219" spans="1:14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</row>
    <row r="1220" spans="1:14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</row>
    <row r="1221" spans="1:14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</row>
    <row r="1222" spans="1:14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</row>
    <row r="1223" spans="1:14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</row>
    <row r="1224" spans="1:14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</row>
    <row r="1225" spans="1:14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</row>
    <row r="1226" spans="1:14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</row>
    <row r="1227" spans="1:14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</row>
    <row r="1228" spans="1:14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</row>
    <row r="1229" spans="1:14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</row>
    <row r="1230" spans="1:14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</row>
    <row r="1231" spans="1:14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</row>
    <row r="1232" spans="1:14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</row>
    <row r="1233" spans="1:14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</row>
    <row r="1234" spans="1:14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</row>
    <row r="1235" spans="1:14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</row>
    <row r="1236" spans="1:14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</row>
    <row r="1237" spans="1:14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</row>
    <row r="1238" spans="1:14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</row>
    <row r="1239" spans="1:14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</row>
    <row r="1240" spans="1:14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</row>
    <row r="1241" spans="1:14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</row>
    <row r="1242" spans="1:14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</row>
    <row r="1243" spans="1:14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</row>
    <row r="1244" spans="1:14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4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</row>
    <row r="1246" spans="1:14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</row>
    <row r="1247" spans="1:14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</row>
    <row r="1248" spans="1:14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</row>
    <row r="1249" spans="1:14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</row>
    <row r="1250" spans="1:14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</row>
    <row r="1251" spans="1:14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</row>
    <row r="1252" spans="1:14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</row>
    <row r="1253" spans="1:14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</row>
    <row r="1254" spans="1:14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</row>
    <row r="1255" spans="1:14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</row>
    <row r="1256" spans="1:14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</row>
    <row r="1257" spans="1:14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</row>
    <row r="1258" spans="1:14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</row>
    <row r="1259" spans="1:14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</row>
    <row r="1260" spans="1:14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</row>
    <row r="1261" spans="1:14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</row>
    <row r="1262" spans="1:14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</row>
    <row r="1263" spans="1:14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</row>
    <row r="1264" spans="1:14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</row>
    <row r="1265" spans="1:14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</row>
    <row r="1266" spans="1:14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</row>
    <row r="1267" spans="1:14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</row>
    <row r="1268" spans="1:14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</row>
    <row r="1269" spans="1:14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</row>
    <row r="1270" spans="1:14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</row>
    <row r="1271" spans="1:14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4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</row>
    <row r="1273" spans="1:14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</row>
    <row r="1274" spans="1:14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</row>
    <row r="1275" spans="1:14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</row>
    <row r="1276" spans="1:14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</row>
    <row r="1277" spans="1:14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</row>
    <row r="1278" spans="1:14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</row>
    <row r="1279" spans="1:14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</row>
    <row r="1280" spans="1:14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</row>
    <row r="1281" spans="1:14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</row>
    <row r="1282" spans="1:14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</row>
    <row r="1283" spans="1:14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</row>
    <row r="1284" spans="1:14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</row>
    <row r="1285" spans="1:14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</row>
    <row r="1286" spans="1:14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</row>
    <row r="1287" spans="1:14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</row>
    <row r="1288" spans="1:14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</row>
    <row r="1289" spans="1:14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</row>
    <row r="1290" spans="1:14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</row>
    <row r="1291" spans="1:14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</row>
    <row r="1292" spans="1:14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</row>
    <row r="1293" spans="1:14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</row>
    <row r="1294" spans="1:14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</row>
    <row r="1295" spans="1:14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</row>
    <row r="1296" spans="1:14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</row>
    <row r="1297" spans="1:14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</row>
    <row r="1298" spans="1:14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4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</row>
    <row r="1300" spans="1:14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</row>
    <row r="1301" spans="1:14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1:14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</row>
    <row r="1303" spans="1:14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</row>
    <row r="1304" spans="1:14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</row>
    <row r="1305" spans="1:14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1:14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</row>
    <row r="1307" spans="1:14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</row>
    <row r="1308" spans="1:14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</row>
    <row r="1309" spans="1:14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1:14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</row>
    <row r="1311" spans="1:14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</row>
    <row r="1312" spans="1:14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</row>
    <row r="1313" spans="1:14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1:14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</row>
    <row r="1315" spans="1:14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</row>
    <row r="1316" spans="1:14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</row>
    <row r="1317" spans="1:14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1:14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</row>
    <row r="1319" spans="1:14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</row>
    <row r="1320" spans="1:14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</row>
    <row r="1321" spans="1:14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1:14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</row>
    <row r="1323" spans="1:14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</row>
    <row r="1324" spans="1:14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</row>
    <row r="1325" spans="1:14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1:14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</row>
    <row r="1327" spans="1:14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</row>
    <row r="1328" spans="1:14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</row>
    <row r="1329" spans="1:14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1:14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</row>
    <row r="1331" spans="1:14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</row>
    <row r="1332" spans="1:14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</row>
    <row r="1333" spans="1:14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1:14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</row>
    <row r="1335" spans="1:14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</row>
    <row r="1336" spans="1:14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</row>
    <row r="1337" spans="1:14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1:14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</row>
    <row r="1339" spans="1:14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</row>
    <row r="1340" spans="1:14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</row>
    <row r="1341" spans="1:14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1:14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</row>
    <row r="1343" spans="1:14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</row>
    <row r="1344" spans="1:14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</row>
    <row r="1345" spans="1:14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1:14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</row>
    <row r="1347" spans="1:14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</row>
    <row r="1348" spans="1:14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</row>
    <row r="1349" spans="1:14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1:14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</row>
    <row r="1351" spans="1:14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</row>
    <row r="1352" spans="1:14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14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1:14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</row>
    <row r="1355" spans="1:14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</row>
    <row r="1356" spans="1:14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</row>
    <row r="1357" spans="1:14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</row>
    <row r="1358" spans="1:14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</row>
    <row r="1359" spans="1:14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</row>
    <row r="1360" spans="1:14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</row>
    <row r="1361" spans="1:14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1:14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</row>
    <row r="1363" spans="1:14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</row>
    <row r="1364" spans="1:14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</row>
    <row r="1365" spans="1:14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1:14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</row>
    <row r="1367" spans="1:14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</row>
    <row r="1368" spans="1:14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</row>
    <row r="1369" spans="1:14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1:14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</row>
    <row r="1371" spans="1:14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</row>
    <row r="1372" spans="1:14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</row>
    <row r="1373" spans="1:14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</row>
    <row r="1374" spans="1:14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</row>
    <row r="1375" spans="1:14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</row>
    <row r="1376" spans="1:14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</row>
    <row r="1377" spans="1:14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</row>
    <row r="1378" spans="1:14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</row>
    <row r="1379" spans="1:14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4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</row>
    <row r="1381" spans="1:14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</row>
    <row r="1382" spans="1:14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</row>
    <row r="1383" spans="1:14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</row>
    <row r="1384" spans="1:14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</row>
    <row r="1385" spans="1:14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</row>
    <row r="1386" spans="1:14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</row>
    <row r="1387" spans="1:14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</row>
    <row r="1388" spans="1:14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</row>
    <row r="1389" spans="1:14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</row>
    <row r="1390" spans="1:14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</row>
    <row r="1391" spans="1:14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</row>
    <row r="1392" spans="1:14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</row>
    <row r="1393" spans="1:14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</row>
    <row r="1394" spans="1:14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</row>
    <row r="1395" spans="1:14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</row>
    <row r="1396" spans="1:14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</row>
    <row r="1397" spans="1:14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</row>
    <row r="1398" spans="1:14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</row>
    <row r="1399" spans="1:14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</row>
    <row r="1400" spans="1:14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</row>
    <row r="1401" spans="1:14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</row>
    <row r="1402" spans="1:14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</row>
    <row r="1403" spans="1:14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</row>
    <row r="1404" spans="1:14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</row>
    <row r="1405" spans="1:14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</row>
    <row r="1406" spans="1:14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4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</row>
    <row r="1408" spans="1:14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</row>
    <row r="1409" spans="1:14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</row>
    <row r="1410" spans="1:14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</row>
    <row r="1411" spans="1:14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</row>
    <row r="1412" spans="1:14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</row>
    <row r="1413" spans="1:14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</row>
    <row r="1414" spans="1:14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</row>
    <row r="1415" spans="1:14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</row>
    <row r="1416" spans="1:14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</row>
    <row r="1417" spans="1:14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</row>
    <row r="1418" spans="1:14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</row>
    <row r="1419" spans="1:14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</row>
    <row r="1420" spans="1:14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</row>
    <row r="1421" spans="1:14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</row>
    <row r="1422" spans="1:14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</row>
    <row r="1423" spans="1:14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</row>
    <row r="1424" spans="1:14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</row>
    <row r="1425" spans="1:14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</row>
    <row r="1426" spans="1:14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</row>
    <row r="1427" spans="1:14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</row>
    <row r="1428" spans="1:14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</row>
    <row r="1429" spans="1:14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</row>
    <row r="1430" spans="1:14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</row>
    <row r="1431" spans="1:14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</row>
    <row r="1432" spans="1:14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</row>
    <row r="1433" spans="1:14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4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</row>
    <row r="1435" spans="1:14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</row>
    <row r="1436" spans="1:14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</row>
    <row r="1437" spans="1:14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</row>
    <row r="1438" spans="1:14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</row>
    <row r="1439" spans="1:14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</row>
    <row r="1440" spans="1:14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</row>
    <row r="1441" spans="1:14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</row>
    <row r="1442" spans="1:14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</row>
    <row r="1443" spans="1:14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</row>
    <row r="1444" spans="1:14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</row>
    <row r="1445" spans="1:14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</row>
    <row r="1446" spans="1:14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</row>
    <row r="1447" spans="1:14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</row>
    <row r="1448" spans="1:14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</row>
    <row r="1449" spans="1:14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</row>
    <row r="1450" spans="1:14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</row>
    <row r="1451" spans="1:14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</row>
    <row r="1452" spans="1:14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</row>
    <row r="1453" spans="1:14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</row>
    <row r="1454" spans="1:14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</row>
    <row r="1455" spans="1:14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</row>
    <row r="1456" spans="1:14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</row>
    <row r="1457" spans="1:14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</row>
    <row r="1458" spans="1:14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</row>
    <row r="1459" spans="1:14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</row>
    <row r="1460" spans="1:14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4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</row>
    <row r="1462" spans="1:14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</row>
    <row r="1463" spans="1:14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</row>
    <row r="1464" spans="1:14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</row>
    <row r="1465" spans="1:14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</row>
    <row r="1466" spans="1:14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</row>
    <row r="1467" spans="1:14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</row>
    <row r="1468" spans="1:14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</row>
    <row r="1469" spans="1:14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</row>
    <row r="1470" spans="1:14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</row>
    <row r="1471" spans="1:14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</row>
    <row r="1472" spans="1:14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</row>
    <row r="1473" spans="1:14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</row>
    <row r="1474" spans="1:14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</row>
    <row r="1475" spans="1:14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</row>
    <row r="1476" spans="1:14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</row>
    <row r="1477" spans="1:14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</row>
    <row r="1478" spans="1:14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</row>
    <row r="1479" spans="1:14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</row>
    <row r="1480" spans="1:14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</row>
    <row r="1481" spans="1:14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</row>
    <row r="1482" spans="1:14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</row>
    <row r="1483" spans="1:14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</row>
    <row r="1484" spans="1:14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</row>
    <row r="1485" spans="1:14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</row>
    <row r="1486" spans="1:14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</row>
    <row r="1487" spans="1:14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4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</row>
    <row r="1489" spans="1:14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</row>
    <row r="1490" spans="1:14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</row>
    <row r="1491" spans="1:14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</row>
    <row r="1492" spans="1:14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</row>
    <row r="1493" spans="1:14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</row>
    <row r="1494" spans="1:14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</row>
    <row r="1495" spans="1:14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</row>
    <row r="1496" spans="1:14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</row>
    <row r="1497" spans="1:14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</row>
    <row r="1498" spans="1:14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</row>
    <row r="1499" spans="1:14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</row>
    <row r="1500" spans="1:14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</row>
    <row r="1501" spans="1:14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</row>
    <row r="1502" spans="1:14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</row>
    <row r="1503" spans="1:14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</row>
    <row r="1504" spans="1:14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</row>
    <row r="1505" spans="1:14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</row>
    <row r="1506" spans="1:14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</row>
    <row r="1507" spans="1:14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</row>
    <row r="1508" spans="1:14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</row>
    <row r="1509" spans="1:14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</row>
    <row r="1510" spans="1:14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</row>
    <row r="1511" spans="1:14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</row>
    <row r="1512" spans="1:14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</row>
    <row r="1513" spans="1:14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</row>
    <row r="1514" spans="1:14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</row>
    <row r="1515" spans="1:14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</row>
    <row r="1516" spans="1:14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</row>
    <row r="1517" spans="1:14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</row>
    <row r="1518" spans="1:14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</row>
    <row r="1519" spans="1:14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</row>
    <row r="1520" spans="1:14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</row>
    <row r="1521" spans="1:14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</row>
    <row r="1522" spans="1:14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</row>
    <row r="1523" spans="1:14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</row>
    <row r="1524" spans="1:14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</row>
    <row r="1525" spans="1:14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</row>
    <row r="1526" spans="1:14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</row>
    <row r="1527" spans="1:14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</row>
    <row r="1528" spans="1:14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</row>
    <row r="1529" spans="1:14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</row>
    <row r="1530" spans="1:14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</row>
    <row r="1531" spans="1:14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</row>
    <row r="1532" spans="1:14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</row>
    <row r="1533" spans="1:14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</row>
    <row r="1534" spans="1:14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</row>
    <row r="1535" spans="1:14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</row>
    <row r="1536" spans="1:14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</row>
    <row r="1537" spans="1:14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</row>
    <row r="1538" spans="1:14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</row>
    <row r="1539" spans="1:14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</row>
    <row r="1540" spans="1:14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</row>
    <row r="1541" spans="1:14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14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</row>
    <row r="1543" spans="1:14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</row>
    <row r="1544" spans="1:14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</row>
    <row r="1545" spans="1:14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</row>
    <row r="1546" spans="1:14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</row>
    <row r="1547" spans="1:14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</row>
    <row r="1548" spans="1:14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</row>
    <row r="1549" spans="1:14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</row>
    <row r="1550" spans="1:14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</row>
    <row r="1551" spans="1:14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</row>
    <row r="1552" spans="1:14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</row>
    <row r="1553" spans="1:14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</row>
    <row r="1554" spans="1:14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</row>
    <row r="1555" spans="1:14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</row>
    <row r="1556" spans="1:14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</row>
    <row r="1557" spans="1:14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</row>
    <row r="1558" spans="1:14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</row>
    <row r="1559" spans="1:14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</row>
    <row r="1560" spans="1:14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</row>
    <row r="1561" spans="1:14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</row>
    <row r="1562" spans="1:14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</row>
    <row r="1563" spans="1:14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</row>
    <row r="1564" spans="1:14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</row>
    <row r="1565" spans="1:14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</row>
    <row r="1566" spans="1:14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</row>
    <row r="1567" spans="1:14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</row>
    <row r="1568" spans="1:14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4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</row>
    <row r="1570" spans="1:14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</row>
    <row r="1571" spans="1:14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</row>
    <row r="1572" spans="1:14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</row>
    <row r="1573" spans="1:14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</row>
    <row r="1574" spans="1:14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</row>
    <row r="1575" spans="1:14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</row>
    <row r="1576" spans="1:14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</row>
    <row r="1577" spans="1:14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</row>
    <row r="1578" spans="1:14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</row>
    <row r="1579" spans="1:14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</row>
    <row r="1580" spans="1:14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</row>
    <row r="1581" spans="1:14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</row>
    <row r="1582" spans="1:14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</row>
    <row r="1583" spans="1:14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</row>
    <row r="1584" spans="1:14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</row>
    <row r="1585" spans="1:14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</row>
    <row r="1586" spans="1:14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</row>
    <row r="1587" spans="1:14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</row>
    <row r="1588" spans="1:14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</row>
    <row r="1589" spans="1:14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</row>
    <row r="1590" spans="1:14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</row>
    <row r="1591" spans="1:14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</row>
    <row r="1592" spans="1:14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</row>
    <row r="1593" spans="1:14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</row>
    <row r="1594" spans="1:14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</row>
    <row r="1595" spans="1:14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4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</row>
    <row r="1597" spans="1:14" x14ac:dyDescent="0.2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</row>
  </sheetData>
  <mergeCells count="85">
    <mergeCell ref="B949:C949"/>
    <mergeCell ref="B950:C950"/>
    <mergeCell ref="B951:C951"/>
    <mergeCell ref="B952:C952"/>
    <mergeCell ref="B944:C944"/>
    <mergeCell ref="B945:C945"/>
    <mergeCell ref="A946:O946"/>
    <mergeCell ref="B947:C947"/>
    <mergeCell ref="B948:C948"/>
    <mergeCell ref="A939:O939"/>
    <mergeCell ref="B940:C940"/>
    <mergeCell ref="B941:C941"/>
    <mergeCell ref="B942:C942"/>
    <mergeCell ref="B943:C943"/>
    <mergeCell ref="H494:K494"/>
    <mergeCell ref="L494:O494"/>
    <mergeCell ref="A494:A495"/>
    <mergeCell ref="B494:B495"/>
    <mergeCell ref="C494:C495"/>
    <mergeCell ref="D494:F494"/>
    <mergeCell ref="G494:G495"/>
    <mergeCell ref="H290:K290"/>
    <mergeCell ref="L290:O290"/>
    <mergeCell ref="A391:A392"/>
    <mergeCell ref="B391:B392"/>
    <mergeCell ref="C391:C392"/>
    <mergeCell ref="D391:F391"/>
    <mergeCell ref="G391:G392"/>
    <mergeCell ref="H391:K391"/>
    <mergeCell ref="L391:O391"/>
    <mergeCell ref="A290:A291"/>
    <mergeCell ref="B290:B291"/>
    <mergeCell ref="C290:C291"/>
    <mergeCell ref="D290:F290"/>
    <mergeCell ref="G290:G291"/>
    <mergeCell ref="A3:O3"/>
    <mergeCell ref="A8:A9"/>
    <mergeCell ref="B8:B9"/>
    <mergeCell ref="C8:C9"/>
    <mergeCell ref="D8:F8"/>
    <mergeCell ref="G8:G9"/>
    <mergeCell ref="H8:K8"/>
    <mergeCell ref="L8:O8"/>
    <mergeCell ref="H102:K102"/>
    <mergeCell ref="L102:O102"/>
    <mergeCell ref="A194:A195"/>
    <mergeCell ref="B194:B195"/>
    <mergeCell ref="C194:C195"/>
    <mergeCell ref="D194:F194"/>
    <mergeCell ref="G194:G195"/>
    <mergeCell ref="H194:K194"/>
    <mergeCell ref="L194:O194"/>
    <mergeCell ref="A102:A103"/>
    <mergeCell ref="B102:B103"/>
    <mergeCell ref="C102:C103"/>
    <mergeCell ref="D102:F102"/>
    <mergeCell ref="G102:G103"/>
    <mergeCell ref="H595:K595"/>
    <mergeCell ref="L595:O595"/>
    <mergeCell ref="A685:A686"/>
    <mergeCell ref="B685:B686"/>
    <mergeCell ref="C685:C686"/>
    <mergeCell ref="D685:F685"/>
    <mergeCell ref="G685:G686"/>
    <mergeCell ref="H685:K685"/>
    <mergeCell ref="L685:O685"/>
    <mergeCell ref="A595:A596"/>
    <mergeCell ref="B595:B596"/>
    <mergeCell ref="C595:C596"/>
    <mergeCell ref="D595:F595"/>
    <mergeCell ref="G595:G596"/>
    <mergeCell ref="H769:K769"/>
    <mergeCell ref="L769:O769"/>
    <mergeCell ref="A857:A858"/>
    <mergeCell ref="B857:B858"/>
    <mergeCell ref="C857:C858"/>
    <mergeCell ref="D857:F857"/>
    <mergeCell ref="G857:G858"/>
    <mergeCell ref="H857:K857"/>
    <mergeCell ref="L857:O857"/>
    <mergeCell ref="A769:A770"/>
    <mergeCell ref="B769:B770"/>
    <mergeCell ref="C769:C770"/>
    <mergeCell ref="D769:F769"/>
    <mergeCell ref="G769:G770"/>
  </mergeCells>
  <pageMargins left="0.39370078740157483" right="0.39370078740157483" top="0.39370078740157483" bottom="0.39370078740157483" header="0.31496062992125984" footer="0.31496062992125984"/>
  <pageSetup paperSize="9" scale="86" fitToHeight="0" orientation="landscape" r:id="rId1"/>
  <rowBreaks count="10" manualBreakCount="10">
    <brk id="98" max="14" man="1"/>
    <brk id="190" max="14" man="1"/>
    <brk id="286" max="14" man="1"/>
    <brk id="387" max="14" man="1"/>
    <brk id="490" max="14" man="1"/>
    <brk id="591" max="14" man="1"/>
    <brk id="681" max="14" man="1"/>
    <brk id="765" max="14" man="1"/>
    <brk id="853" max="14" man="1"/>
    <brk id="9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zoomScale="124" zoomScaleNormal="124" workbookViewId="0">
      <selection activeCell="M46" sqref="M46"/>
    </sheetView>
  </sheetViews>
  <sheetFormatPr defaultRowHeight="15.75" x14ac:dyDescent="0.25"/>
  <cols>
    <col min="1" max="1" width="4.28515625" style="13" customWidth="1"/>
    <col min="2" max="2" width="39.42578125" style="13" customWidth="1"/>
    <col min="3" max="3" width="14.5703125" style="14" customWidth="1"/>
    <col min="4" max="13" width="10.42578125" style="13" customWidth="1"/>
    <col min="14" max="15" width="13.7109375" style="13" customWidth="1"/>
    <col min="16" max="16" width="15.28515625" style="13" customWidth="1"/>
    <col min="17" max="1025" width="9.140625" style="13"/>
    <col min="1026" max="16384" width="9.140625" style="12"/>
  </cols>
  <sheetData>
    <row r="1" spans="1:1025" ht="18" customHeight="1" x14ac:dyDescent="0.25">
      <c r="A1" s="67" t="s">
        <v>321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T1" s="12"/>
    </row>
    <row r="2" spans="1:1025" ht="30.75" customHeight="1" x14ac:dyDescent="0.25">
      <c r="A2" s="68" t="s">
        <v>280</v>
      </c>
      <c r="B2" s="77" t="s">
        <v>279</v>
      </c>
      <c r="C2" s="68" t="s">
        <v>278</v>
      </c>
      <c r="D2" s="68" t="s">
        <v>277</v>
      </c>
      <c r="E2" s="68"/>
      <c r="F2" s="68"/>
      <c r="G2" s="68"/>
      <c r="H2" s="68"/>
      <c r="I2" s="68"/>
      <c r="J2" s="68"/>
      <c r="K2" s="68"/>
      <c r="L2" s="68"/>
      <c r="M2" s="68"/>
      <c r="N2" s="72" t="s">
        <v>327</v>
      </c>
      <c r="O2" s="72" t="s">
        <v>276</v>
      </c>
      <c r="P2" s="68" t="s">
        <v>275</v>
      </c>
      <c r="T2" s="15"/>
    </row>
    <row r="3" spans="1:1025" x14ac:dyDescent="0.25">
      <c r="A3" s="75"/>
      <c r="B3" s="78"/>
      <c r="C3" s="76"/>
      <c r="D3" s="69" t="s">
        <v>319</v>
      </c>
      <c r="E3" s="70"/>
      <c r="F3" s="70"/>
      <c r="G3" s="70"/>
      <c r="H3" s="71"/>
      <c r="I3" s="69" t="s">
        <v>320</v>
      </c>
      <c r="J3" s="70"/>
      <c r="K3" s="70"/>
      <c r="L3" s="70"/>
      <c r="M3" s="71"/>
      <c r="N3" s="73"/>
      <c r="O3" s="73"/>
      <c r="P3" s="75"/>
      <c r="T3" s="15"/>
    </row>
    <row r="4" spans="1:1025" x14ac:dyDescent="0.25">
      <c r="A4" s="76"/>
      <c r="B4" s="79"/>
      <c r="C4" s="36" t="s">
        <v>281</v>
      </c>
      <c r="D4" s="37">
        <v>1</v>
      </c>
      <c r="E4" s="37">
        <v>2</v>
      </c>
      <c r="F4" s="37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37">
        <v>9</v>
      </c>
      <c r="M4" s="37">
        <v>10</v>
      </c>
      <c r="N4" s="74"/>
      <c r="O4" s="74"/>
      <c r="P4" s="76"/>
    </row>
    <row r="5" spans="1:1025" hidden="1" x14ac:dyDescent="0.25">
      <c r="A5" s="16" t="s">
        <v>303</v>
      </c>
      <c r="B5" s="19" t="s">
        <v>304</v>
      </c>
      <c r="C5" s="19" t="s">
        <v>305</v>
      </c>
      <c r="D5" s="17" t="s">
        <v>306</v>
      </c>
      <c r="E5" s="17" t="s">
        <v>307</v>
      </c>
      <c r="F5" s="17" t="s">
        <v>308</v>
      </c>
      <c r="G5" s="17" t="s">
        <v>309</v>
      </c>
      <c r="H5" s="17" t="s">
        <v>310</v>
      </c>
      <c r="I5" s="17" t="s">
        <v>311</v>
      </c>
      <c r="J5" s="17" t="s">
        <v>312</v>
      </c>
      <c r="K5" s="17" t="s">
        <v>313</v>
      </c>
      <c r="L5" s="17" t="s">
        <v>314</v>
      </c>
      <c r="M5" s="17" t="s">
        <v>315</v>
      </c>
      <c r="N5" s="17" t="s">
        <v>316</v>
      </c>
      <c r="O5" s="17" t="s">
        <v>317</v>
      </c>
      <c r="P5" s="18" t="s">
        <v>318</v>
      </c>
    </row>
    <row r="6" spans="1:1025" s="21" customFormat="1" ht="12.95" customHeight="1" x14ac:dyDescent="0.25">
      <c r="A6" s="22">
        <v>1</v>
      </c>
      <c r="B6" s="38" t="s">
        <v>274</v>
      </c>
      <c r="C6" s="23">
        <v>80</v>
      </c>
      <c r="D6" s="24">
        <v>60</v>
      </c>
      <c r="E6" s="24">
        <v>60</v>
      </c>
      <c r="F6" s="24">
        <v>60</v>
      </c>
      <c r="G6" s="24">
        <v>60</v>
      </c>
      <c r="H6" s="24">
        <v>60</v>
      </c>
      <c r="I6" s="24">
        <v>60</v>
      </c>
      <c r="J6" s="24">
        <v>60</v>
      </c>
      <c r="K6" s="24">
        <v>60</v>
      </c>
      <c r="L6" s="24">
        <v>60</v>
      </c>
      <c r="M6" s="24">
        <v>60</v>
      </c>
      <c r="N6" s="24">
        <f t="shared" ref="N6:N22" si="0">SUM(D6:M6)</f>
        <v>600</v>
      </c>
      <c r="O6" s="24">
        <f t="shared" ref="O6:O56" si="1">N6/10</f>
        <v>60</v>
      </c>
      <c r="P6" s="25">
        <f t="shared" ref="P6:P56" si="2">O6-C6</f>
        <v>-20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</row>
    <row r="7" spans="1:1025" s="21" customFormat="1" ht="12.95" customHeight="1" x14ac:dyDescent="0.25">
      <c r="A7" s="26"/>
      <c r="B7" s="39" t="s">
        <v>324</v>
      </c>
      <c r="C7" s="27">
        <v>80</v>
      </c>
      <c r="D7" s="28">
        <v>30</v>
      </c>
      <c r="E7" s="28">
        <v>30</v>
      </c>
      <c r="F7" s="28">
        <v>30</v>
      </c>
      <c r="G7" s="28">
        <v>30</v>
      </c>
      <c r="H7" s="28">
        <v>30</v>
      </c>
      <c r="I7" s="28">
        <v>30</v>
      </c>
      <c r="J7" s="28">
        <v>30</v>
      </c>
      <c r="K7" s="28">
        <v>30</v>
      </c>
      <c r="L7" s="28">
        <v>30</v>
      </c>
      <c r="M7" s="28">
        <v>30</v>
      </c>
      <c r="N7" s="28">
        <v>300</v>
      </c>
      <c r="O7" s="28">
        <v>30</v>
      </c>
      <c r="P7" s="29">
        <f>O7-C7</f>
        <v>-50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</row>
    <row r="8" spans="1:1025" s="21" customFormat="1" ht="12.95" customHeight="1" x14ac:dyDescent="0.25">
      <c r="A8" s="22">
        <v>2</v>
      </c>
      <c r="B8" s="38" t="s">
        <v>107</v>
      </c>
      <c r="C8" s="23">
        <v>150</v>
      </c>
      <c r="D8" s="24">
        <f>15+40+40</f>
        <v>95</v>
      </c>
      <c r="E8" s="24">
        <v>80</v>
      </c>
      <c r="F8" s="24">
        <f>20+40+40</f>
        <v>100</v>
      </c>
      <c r="G8" s="24">
        <v>100</v>
      </c>
      <c r="H8" s="24">
        <f>20+40+14.85+40</f>
        <v>114.85</v>
      </c>
      <c r="I8" s="24">
        <v>86.42</v>
      </c>
      <c r="J8" s="24">
        <v>100</v>
      </c>
      <c r="K8" s="24">
        <v>80</v>
      </c>
      <c r="L8" s="24">
        <v>80</v>
      </c>
      <c r="M8" s="24">
        <v>95.2</v>
      </c>
      <c r="N8" s="24">
        <f t="shared" si="0"/>
        <v>931.47</v>
      </c>
      <c r="O8" s="24">
        <f t="shared" si="1"/>
        <v>93.147000000000006</v>
      </c>
      <c r="P8" s="25">
        <f t="shared" si="2"/>
        <v>-56.852999999999994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</row>
    <row r="9" spans="1:1025" s="21" customFormat="1" ht="12.95" customHeight="1" x14ac:dyDescent="0.25">
      <c r="A9" s="26"/>
      <c r="B9" s="39" t="s">
        <v>27</v>
      </c>
      <c r="C9" s="27">
        <v>150</v>
      </c>
      <c r="D9" s="28">
        <v>40</v>
      </c>
      <c r="E9" s="28">
        <v>40</v>
      </c>
      <c r="F9" s="28">
        <v>40</v>
      </c>
      <c r="G9" s="28">
        <v>40</v>
      </c>
      <c r="H9" s="28">
        <f>40+7.2</f>
        <v>47.2</v>
      </c>
      <c r="I9" s="28">
        <v>40</v>
      </c>
      <c r="J9" s="28">
        <v>40</v>
      </c>
      <c r="K9" s="28">
        <f>11.2+40</f>
        <v>51.2</v>
      </c>
      <c r="L9" s="28">
        <v>40</v>
      </c>
      <c r="M9" s="28">
        <v>40</v>
      </c>
      <c r="N9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418.4</v>
      </c>
      <c r="O9" s="28">
        <f>Таблица4[[#This Row],[Столбец14]]/10</f>
        <v>41.839999999999996</v>
      </c>
      <c r="P9" s="29">
        <f>O9-C9</f>
        <v>-108.16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</row>
    <row r="10" spans="1:1025" s="21" customFormat="1" ht="12.95" customHeight="1" x14ac:dyDescent="0.25">
      <c r="A10" s="22">
        <v>3</v>
      </c>
      <c r="B10" s="38" t="s">
        <v>229</v>
      </c>
      <c r="C10" s="23">
        <v>15</v>
      </c>
      <c r="D10" s="24">
        <v>1.75</v>
      </c>
      <c r="E10" s="24">
        <v>1.25</v>
      </c>
      <c r="F10" s="24">
        <f>7.7+1.31</f>
        <v>9.01</v>
      </c>
      <c r="G10" s="24">
        <v>0</v>
      </c>
      <c r="H10" s="24">
        <v>0</v>
      </c>
      <c r="I10" s="24">
        <f>3.08+2.8</f>
        <v>5.88</v>
      </c>
      <c r="J10" s="24">
        <v>0</v>
      </c>
      <c r="K10" s="24">
        <v>3.54</v>
      </c>
      <c r="L10" s="24">
        <f>13.6+2.8</f>
        <v>16.399999999999999</v>
      </c>
      <c r="M10" s="24">
        <v>0</v>
      </c>
      <c r="N10" s="24">
        <f t="shared" si="0"/>
        <v>37.83</v>
      </c>
      <c r="O10" s="24">
        <f t="shared" si="1"/>
        <v>3.7829999999999999</v>
      </c>
      <c r="P10" s="25">
        <f t="shared" si="2"/>
        <v>-11.217000000000001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</row>
    <row r="11" spans="1:1025" s="21" customFormat="1" ht="12.95" customHeight="1" x14ac:dyDescent="0.25">
      <c r="A11" s="26"/>
      <c r="B11" s="39" t="s">
        <v>229</v>
      </c>
      <c r="C11" s="27">
        <v>15</v>
      </c>
      <c r="D11" s="28">
        <v>3.08</v>
      </c>
      <c r="E11" s="28">
        <v>1.58</v>
      </c>
      <c r="F11" s="28">
        <v>53.54</v>
      </c>
      <c r="G11" s="28">
        <f>1.92+1.8</f>
        <v>3.7199999999999998</v>
      </c>
      <c r="H11" s="28">
        <v>13.61</v>
      </c>
      <c r="I11" s="28">
        <v>1.75</v>
      </c>
      <c r="J11" s="28">
        <v>45.38</v>
      </c>
      <c r="K11" s="28">
        <v>3.75</v>
      </c>
      <c r="L11" s="28">
        <f>7.7+1.8</f>
        <v>9.5</v>
      </c>
      <c r="M11" s="28">
        <v>0.99</v>
      </c>
      <c r="N11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136.9</v>
      </c>
      <c r="O11" s="28">
        <f>Таблица4[[#This Row],[Столбец14]]/10</f>
        <v>13.690000000000001</v>
      </c>
      <c r="P11" s="29">
        <f>O11-C11</f>
        <v>-1.3099999999999987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</row>
    <row r="12" spans="1:1025" s="21" customFormat="1" ht="12.95" customHeight="1" x14ac:dyDescent="0.25">
      <c r="A12" s="22">
        <v>4</v>
      </c>
      <c r="B12" s="38" t="s">
        <v>273</v>
      </c>
      <c r="C12" s="23">
        <v>45</v>
      </c>
      <c r="D12" s="24">
        <f>25+7.41+50</f>
        <v>82.41</v>
      </c>
      <c r="E12" s="24">
        <v>50.91</v>
      </c>
      <c r="F12" s="24">
        <v>10</v>
      </c>
      <c r="G12" s="24">
        <v>39.6</v>
      </c>
      <c r="H12" s="24">
        <f>30.8+53.7</f>
        <v>84.5</v>
      </c>
      <c r="I12" s="24"/>
      <c r="J12" s="24">
        <v>39.700000000000003</v>
      </c>
      <c r="K12" s="24">
        <v>10</v>
      </c>
      <c r="L12" s="24">
        <v>54</v>
      </c>
      <c r="M12" s="24">
        <f>48.5+66.93</f>
        <v>115.43</v>
      </c>
      <c r="N12" s="24">
        <f t="shared" si="0"/>
        <v>486.54999999999995</v>
      </c>
      <c r="O12" s="24">
        <f t="shared" si="1"/>
        <v>48.654999999999994</v>
      </c>
      <c r="P12" s="25">
        <f t="shared" si="2"/>
        <v>3.654999999999994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</row>
    <row r="13" spans="1:1025" s="21" customFormat="1" ht="12.95" customHeight="1" x14ac:dyDescent="0.25">
      <c r="A13" s="26"/>
      <c r="B13" s="39" t="s">
        <v>273</v>
      </c>
      <c r="C13" s="27">
        <v>45</v>
      </c>
      <c r="D13" s="28">
        <v>0</v>
      </c>
      <c r="E13" s="28">
        <f>35.05+35.07</f>
        <v>70.12</v>
      </c>
      <c r="F13" s="28">
        <v>5</v>
      </c>
      <c r="G13" s="28">
        <v>0</v>
      </c>
      <c r="H13" s="28">
        <v>35.99</v>
      </c>
      <c r="I13" s="28">
        <v>45</v>
      </c>
      <c r="J13" s="28">
        <v>61.91</v>
      </c>
      <c r="K13" s="28">
        <v>49.35</v>
      </c>
      <c r="L13" s="28">
        <v>0</v>
      </c>
      <c r="M13" s="28">
        <v>0</v>
      </c>
      <c r="N13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267.37</v>
      </c>
      <c r="O13" s="28">
        <f>Таблица4[[#This Row],[Столбец14]]/10</f>
        <v>26.737000000000002</v>
      </c>
      <c r="P13" s="29">
        <f>O13-C13</f>
        <v>-18.262999999999998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</row>
    <row r="14" spans="1:1025" s="21" customFormat="1" ht="12.95" customHeight="1" x14ac:dyDescent="0.25">
      <c r="A14" s="22">
        <v>5</v>
      </c>
      <c r="B14" s="38" t="s">
        <v>230</v>
      </c>
      <c r="C14" s="23">
        <v>15</v>
      </c>
      <c r="D14" s="24">
        <v>0</v>
      </c>
      <c r="E14" s="24">
        <v>0</v>
      </c>
      <c r="F14" s="24">
        <v>0</v>
      </c>
      <c r="G14" s="24">
        <v>12.5</v>
      </c>
      <c r="H14" s="24">
        <v>0</v>
      </c>
      <c r="I14" s="24">
        <v>46.82</v>
      </c>
      <c r="J14" s="24">
        <v>0</v>
      </c>
      <c r="K14" s="24">
        <v>0</v>
      </c>
      <c r="L14" s="24">
        <v>0</v>
      </c>
      <c r="M14" s="24">
        <v>0</v>
      </c>
      <c r="N14" s="24">
        <f t="shared" si="0"/>
        <v>59.32</v>
      </c>
      <c r="O14" s="24">
        <f t="shared" si="1"/>
        <v>5.9320000000000004</v>
      </c>
      <c r="P14" s="25">
        <f t="shared" si="2"/>
        <v>-9.0679999999999996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s="21" customFormat="1" ht="12.95" customHeight="1" x14ac:dyDescent="0.25">
      <c r="A15" s="26"/>
      <c r="B15" s="39" t="s">
        <v>230</v>
      </c>
      <c r="C15" s="27">
        <v>15</v>
      </c>
      <c r="D15" s="28">
        <v>51.05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12.5</v>
      </c>
      <c r="L15" s="28">
        <v>0</v>
      </c>
      <c r="M15" s="28">
        <v>0</v>
      </c>
      <c r="N15" s="28">
        <v>61.05</v>
      </c>
      <c r="O15" s="28">
        <f>Таблица4[[#This Row],[Столбец14]]/10</f>
        <v>6.1049999999999995</v>
      </c>
      <c r="P15" s="29">
        <f>O15-C15</f>
        <v>-8.8949999999999996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</row>
    <row r="16" spans="1:1025" s="21" customFormat="1" ht="12.95" customHeight="1" x14ac:dyDescent="0.25">
      <c r="A16" s="22">
        <v>6</v>
      </c>
      <c r="B16" s="38" t="s">
        <v>232</v>
      </c>
      <c r="C16" s="23">
        <v>188</v>
      </c>
      <c r="D16" s="30">
        <v>26.7</v>
      </c>
      <c r="E16" s="24">
        <v>128.63999999999999</v>
      </c>
      <c r="F16" s="24">
        <v>155</v>
      </c>
      <c r="G16" s="24">
        <v>75</v>
      </c>
      <c r="H16" s="24">
        <v>0</v>
      </c>
      <c r="I16" s="31">
        <v>156.44999999999999</v>
      </c>
      <c r="J16" s="24">
        <f>25.12+119.18</f>
        <v>144.30000000000001</v>
      </c>
      <c r="K16" s="24">
        <f>86.25+141.9</f>
        <v>228.15</v>
      </c>
      <c r="L16" s="24">
        <v>0</v>
      </c>
      <c r="M16" s="24">
        <v>43.12</v>
      </c>
      <c r="N16" s="24">
        <f t="shared" si="0"/>
        <v>957.3599999999999</v>
      </c>
      <c r="O16" s="24">
        <f t="shared" si="1"/>
        <v>95.73599999999999</v>
      </c>
      <c r="P16" s="25">
        <f t="shared" si="2"/>
        <v>-92.26400000000001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</row>
    <row r="17" spans="1:1025" s="21" customFormat="1" ht="12.95" customHeight="1" x14ac:dyDescent="0.25">
      <c r="A17" s="26"/>
      <c r="B17" s="39" t="s">
        <v>232</v>
      </c>
      <c r="C17" s="27">
        <v>188</v>
      </c>
      <c r="D17" s="28">
        <v>0</v>
      </c>
      <c r="E17" s="28">
        <v>0</v>
      </c>
      <c r="F17" s="28">
        <f>75+141.9</f>
        <v>216.9</v>
      </c>
      <c r="G17" s="28">
        <v>99.92</v>
      </c>
      <c r="H17" s="28">
        <v>48.37</v>
      </c>
      <c r="I17" s="28">
        <v>43.12</v>
      </c>
      <c r="J17" s="28">
        <v>20.05</v>
      </c>
      <c r="K17" s="28">
        <v>75</v>
      </c>
      <c r="L17" s="28">
        <v>50</v>
      </c>
      <c r="M17" s="28">
        <f>112.5+126.45</f>
        <v>238.95</v>
      </c>
      <c r="N17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792.31</v>
      </c>
      <c r="O17" s="28">
        <f>Таблица4[[#This Row],[Столбец14]]/10</f>
        <v>79.230999999999995</v>
      </c>
      <c r="P17" s="29">
        <f>O17-C17</f>
        <v>-108.76900000000001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</row>
    <row r="18" spans="1:1025" s="21" customFormat="1" ht="12.95" customHeight="1" x14ac:dyDescent="0.25">
      <c r="A18" s="22">
        <v>7</v>
      </c>
      <c r="B18" s="38" t="s">
        <v>272</v>
      </c>
      <c r="C18" s="23">
        <v>280</v>
      </c>
      <c r="D18" s="24">
        <f>60+50+12+15.7+25+1.4+1.36</f>
        <v>165.46</v>
      </c>
      <c r="E18" s="24">
        <f>21.48+12.06+10.56+43.98+10+2.75+40+13.64</f>
        <v>154.46999999999997</v>
      </c>
      <c r="F18" s="24">
        <f>10.56+46.08+10+10+13.1+21.35</f>
        <v>111.09</v>
      </c>
      <c r="G18" s="24">
        <f>45.84+10.07+9.75+19.14+10+21+10+13</f>
        <v>138.80000000000001</v>
      </c>
      <c r="H18" s="24">
        <f>28.44+33.12+24.55</f>
        <v>86.11</v>
      </c>
      <c r="I18" s="24">
        <f>53.82+10.07+9.75+35</f>
        <v>108.64</v>
      </c>
      <c r="J18" s="24">
        <f>37.44+10+9.75+30+15.3</f>
        <v>102.49</v>
      </c>
      <c r="K18" s="24">
        <f>60+12.6+17.78</f>
        <v>90.38</v>
      </c>
      <c r="L18" s="24">
        <f>52.8+10+10.07+9.75+9.36+161.7</f>
        <v>253.68</v>
      </c>
      <c r="M18" s="24">
        <v>208.19</v>
      </c>
      <c r="N18" s="24">
        <f t="shared" si="0"/>
        <v>1419.31</v>
      </c>
      <c r="O18" s="24">
        <f t="shared" si="1"/>
        <v>141.93099999999998</v>
      </c>
      <c r="P18" s="25">
        <f t="shared" si="2"/>
        <v>-138.06900000000002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</row>
    <row r="19" spans="1:1025" s="21" customFormat="1" ht="12.95" customHeight="1" x14ac:dyDescent="0.25">
      <c r="A19" s="26"/>
      <c r="B19" s="39" t="s">
        <v>272</v>
      </c>
      <c r="C19" s="27">
        <v>280</v>
      </c>
      <c r="D19" s="28">
        <f>34.2+24.55</f>
        <v>58.75</v>
      </c>
      <c r="E19" s="28">
        <f>16.38+30.24+10.07+9.75+2.42+6.5+6</f>
        <v>81.36</v>
      </c>
      <c r="F19" s="28">
        <f>60+9.75+17.78</f>
        <v>87.53</v>
      </c>
      <c r="G19" s="28">
        <f>29.04+20.64+10+9.75+8.85+5.85+157.5+4</f>
        <v>245.63</v>
      </c>
      <c r="H19" s="28">
        <f>24.18+32.76+10.07+9.75+24.075+30+23.4+7.27</f>
        <v>161.505</v>
      </c>
      <c r="I19" s="28">
        <f>60+64+11.32+9.75+1.41+2.73+0.7</f>
        <v>149.90999999999997</v>
      </c>
      <c r="J19" s="28">
        <f>12.12+38.16+6.72+40+10.07+12.27+20+9.2+22.17</f>
        <v>170.70999999999998</v>
      </c>
      <c r="K19" s="28">
        <f>10.07+9.75</f>
        <v>19.82</v>
      </c>
      <c r="L19" s="28">
        <f>50.22+7.2+10+10+2.85+8.85+5.85+157.5+4</f>
        <v>256.46999999999997</v>
      </c>
      <c r="M19" s="28">
        <f>10.5+9.75</f>
        <v>20.25</v>
      </c>
      <c r="N19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1251.9349999999999</v>
      </c>
      <c r="O19" s="28">
        <f>Таблица4[[#This Row],[Столбец14]]/10</f>
        <v>125.1935</v>
      </c>
      <c r="P19" s="29">
        <f>O19-C19</f>
        <v>-154.8065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</row>
    <row r="20" spans="1:1025" s="21" customFormat="1" ht="12.95" customHeight="1" x14ac:dyDescent="0.25">
      <c r="A20" s="22">
        <v>8</v>
      </c>
      <c r="B20" s="38" t="s">
        <v>271</v>
      </c>
      <c r="C20" s="23">
        <v>185</v>
      </c>
      <c r="D20" s="24">
        <v>150</v>
      </c>
      <c r="E20" s="24">
        <v>150</v>
      </c>
      <c r="F20" s="24">
        <f>24+90</f>
        <v>114</v>
      </c>
      <c r="G20" s="24">
        <v>252.32</v>
      </c>
      <c r="H20" s="24">
        <v>123</v>
      </c>
      <c r="I20" s="24">
        <v>120</v>
      </c>
      <c r="J20" s="24">
        <v>175.76</v>
      </c>
      <c r="K20" s="24">
        <v>276.39999999999998</v>
      </c>
      <c r="L20" s="24">
        <v>175</v>
      </c>
      <c r="M20" s="24">
        <v>127.2</v>
      </c>
      <c r="N20" s="24">
        <f t="shared" si="0"/>
        <v>1663.68</v>
      </c>
      <c r="O20" s="24">
        <f t="shared" si="1"/>
        <v>166.36799999999999</v>
      </c>
      <c r="P20" s="25">
        <f t="shared" si="2"/>
        <v>-18.632000000000005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</row>
    <row r="21" spans="1:1025" s="21" customFormat="1" ht="12.95" customHeight="1" x14ac:dyDescent="0.25">
      <c r="A21" s="26"/>
      <c r="B21" s="39" t="s">
        <v>271</v>
      </c>
      <c r="C21" s="27">
        <v>185</v>
      </c>
      <c r="D21" s="28">
        <f>23.22+36.9+39.5</f>
        <v>99.62</v>
      </c>
      <c r="E21" s="28">
        <v>36.76</v>
      </c>
      <c r="F21" s="28">
        <v>30</v>
      </c>
      <c r="G21" s="28">
        <v>20</v>
      </c>
      <c r="H21" s="28">
        <v>20</v>
      </c>
      <c r="I21" s="28">
        <v>20</v>
      </c>
      <c r="J21" s="28">
        <f>49.2+14.4</f>
        <v>63.6</v>
      </c>
      <c r="K21" s="28">
        <v>0</v>
      </c>
      <c r="L21" s="28">
        <v>30</v>
      </c>
      <c r="M21" s="28">
        <v>20</v>
      </c>
      <c r="N2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339.98</v>
      </c>
      <c r="O21" s="28">
        <f>Таблица4[[#This Row],[Столбец14]]/10</f>
        <v>33.998000000000005</v>
      </c>
      <c r="P21" s="29">
        <f>O21-C21</f>
        <v>-151.00200000000001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</row>
    <row r="22" spans="1:1025" s="21" customFormat="1" ht="12.95" customHeight="1" x14ac:dyDescent="0.25">
      <c r="A22" s="22">
        <v>9</v>
      </c>
      <c r="B22" s="38" t="s">
        <v>270</v>
      </c>
      <c r="C22" s="23">
        <v>15</v>
      </c>
      <c r="D22" s="24">
        <v>20</v>
      </c>
      <c r="E22" s="24">
        <v>20</v>
      </c>
      <c r="F22" s="24">
        <v>0</v>
      </c>
      <c r="G22" s="24">
        <v>3.36</v>
      </c>
      <c r="H22" s="24">
        <v>0</v>
      </c>
      <c r="I22" s="24">
        <v>20</v>
      </c>
      <c r="J22" s="24">
        <v>2.7</v>
      </c>
      <c r="K22" s="24">
        <v>3.85</v>
      </c>
      <c r="L22" s="24">
        <v>25</v>
      </c>
      <c r="M22" s="24">
        <v>0</v>
      </c>
      <c r="N22" s="24">
        <f t="shared" si="0"/>
        <v>94.91</v>
      </c>
      <c r="O22" s="24">
        <f t="shared" si="1"/>
        <v>9.4909999999999997</v>
      </c>
      <c r="P22" s="25">
        <f t="shared" si="2"/>
        <v>-5.5090000000000003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</row>
    <row r="23" spans="1:1025" s="21" customFormat="1" ht="12.95" customHeight="1" x14ac:dyDescent="0.25">
      <c r="A23" s="26"/>
      <c r="B23" s="39" t="s">
        <v>325</v>
      </c>
      <c r="C23" s="27">
        <v>15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20</v>
      </c>
      <c r="K23" s="28">
        <v>20</v>
      </c>
      <c r="L23" s="28">
        <v>0</v>
      </c>
      <c r="M23" s="28">
        <v>0</v>
      </c>
      <c r="N23" s="28">
        <v>20</v>
      </c>
      <c r="O23" s="28">
        <v>2</v>
      </c>
      <c r="P23" s="29">
        <f>O23-C23</f>
        <v>-13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</row>
    <row r="24" spans="1:1025" s="21" customFormat="1" ht="12.95" customHeight="1" x14ac:dyDescent="0.25">
      <c r="A24" s="22">
        <v>10</v>
      </c>
      <c r="B24" s="38" t="s">
        <v>269</v>
      </c>
      <c r="C24" s="23">
        <v>200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0</v>
      </c>
      <c r="P24" s="25">
        <f t="shared" si="2"/>
        <v>-200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</row>
    <row r="25" spans="1:1025" s="21" customFormat="1" ht="12.95" customHeight="1" x14ac:dyDescent="0.25">
      <c r="A25" s="26"/>
      <c r="B25" s="39" t="s">
        <v>269</v>
      </c>
      <c r="C25" s="27">
        <v>200</v>
      </c>
      <c r="D25" s="28">
        <v>0</v>
      </c>
      <c r="E25" s="28">
        <v>200</v>
      </c>
      <c r="F25" s="28">
        <v>0</v>
      </c>
      <c r="G25" s="28">
        <v>200</v>
      </c>
      <c r="H25" s="28">
        <v>0</v>
      </c>
      <c r="I25" s="28">
        <v>0</v>
      </c>
      <c r="J25" s="28">
        <v>200</v>
      </c>
      <c r="K25" s="28">
        <v>200</v>
      </c>
      <c r="L25" s="28">
        <v>0</v>
      </c>
      <c r="M25" s="28">
        <v>200</v>
      </c>
      <c r="N25" s="28">
        <v>1000</v>
      </c>
      <c r="O25" s="28">
        <v>100</v>
      </c>
      <c r="P25" s="29">
        <f>O25-C25</f>
        <v>-100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</row>
    <row r="26" spans="1:1025" s="21" customFormat="1" ht="12.95" customHeight="1" x14ac:dyDescent="0.25">
      <c r="A26" s="22">
        <v>11</v>
      </c>
      <c r="B26" s="38" t="s">
        <v>268</v>
      </c>
      <c r="C26" s="23">
        <v>70</v>
      </c>
      <c r="D26" s="24">
        <v>0</v>
      </c>
      <c r="E26" s="24">
        <v>112</v>
      </c>
      <c r="F26" s="24">
        <v>0</v>
      </c>
      <c r="G26" s="24">
        <v>119.04</v>
      </c>
      <c r="H26" s="24">
        <v>0</v>
      </c>
      <c r="I26" s="24">
        <v>0</v>
      </c>
      <c r="J26" s="24">
        <v>117</v>
      </c>
      <c r="K26" s="24">
        <v>84.39</v>
      </c>
      <c r="L26" s="24">
        <v>64</v>
      </c>
      <c r="M26" s="24">
        <v>65.599999999999994</v>
      </c>
      <c r="N26" s="24">
        <f>SUM(D26:M26)</f>
        <v>562.03</v>
      </c>
      <c r="O26" s="24">
        <f t="shared" si="1"/>
        <v>56.202999999999996</v>
      </c>
      <c r="P26" s="25">
        <f t="shared" si="2"/>
        <v>-13.797000000000004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</row>
    <row r="27" spans="1:1025" s="21" customFormat="1" ht="12.95" customHeight="1" x14ac:dyDescent="0.25">
      <c r="A27" s="26"/>
      <c r="B27" s="39" t="s">
        <v>268</v>
      </c>
      <c r="C27" s="27">
        <v>70</v>
      </c>
      <c r="D27" s="28">
        <v>92.5</v>
      </c>
      <c r="E27" s="28">
        <v>0</v>
      </c>
      <c r="F27" s="28">
        <v>84.39</v>
      </c>
      <c r="G27" s="28">
        <v>29.05</v>
      </c>
      <c r="H27" s="28">
        <v>65.599999999999994</v>
      </c>
      <c r="I27" s="28">
        <v>115.4</v>
      </c>
      <c r="J27" s="28">
        <v>75.44</v>
      </c>
      <c r="K27" s="28">
        <v>60</v>
      </c>
      <c r="L27" s="28">
        <v>0</v>
      </c>
      <c r="M27" s="28">
        <v>93</v>
      </c>
      <c r="N27" s="28">
        <f>Таблица4[[#This Row],[Столбец13]]+Таблица4[[#This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Row],[Столбец4]]</f>
        <v>615.38000000000011</v>
      </c>
      <c r="O27" s="28">
        <f>Таблица4[[#This Row],[Столбец14]]/10</f>
        <v>61.538000000000011</v>
      </c>
      <c r="P27" s="29">
        <f>O27-C27</f>
        <v>-8.4619999999999891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</row>
    <row r="28" spans="1:1025" s="21" customFormat="1" ht="12.95" customHeight="1" x14ac:dyDescent="0.25">
      <c r="A28" s="22">
        <v>12</v>
      </c>
      <c r="B28" s="38" t="s">
        <v>267</v>
      </c>
      <c r="C28" s="23">
        <v>35</v>
      </c>
      <c r="D28" s="24">
        <v>76.38</v>
      </c>
      <c r="E28" s="24">
        <v>0</v>
      </c>
      <c r="F28" s="24">
        <v>110.4</v>
      </c>
      <c r="G28" s="24">
        <v>0</v>
      </c>
      <c r="H28" s="24">
        <v>29.62</v>
      </c>
      <c r="I28" s="24">
        <v>52.57</v>
      </c>
      <c r="J28" s="24">
        <v>0</v>
      </c>
      <c r="K28" s="24">
        <v>0</v>
      </c>
      <c r="L28" s="24">
        <v>0</v>
      </c>
      <c r="M28" s="24">
        <v>70</v>
      </c>
      <c r="N28" s="24">
        <f>SUM(D28:M28)</f>
        <v>338.97</v>
      </c>
      <c r="O28" s="24">
        <f t="shared" si="1"/>
        <v>33.897000000000006</v>
      </c>
      <c r="P28" s="25">
        <f t="shared" si="2"/>
        <v>-1.1029999999999944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</row>
    <row r="29" spans="1:1025" s="21" customFormat="1" ht="12.95" customHeight="1" x14ac:dyDescent="0.25">
      <c r="A29" s="26"/>
      <c r="B29" s="39" t="s">
        <v>267</v>
      </c>
      <c r="C29" s="27">
        <v>35</v>
      </c>
      <c r="D29" s="28">
        <v>29.62</v>
      </c>
      <c r="E29" s="28">
        <v>58.33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80</v>
      </c>
      <c r="M29" s="28">
        <v>0</v>
      </c>
      <c r="N29" s="28">
        <f>Таблица4[[#This Row],[Столбец12]]+Таблица4[[#This Row],[Столбец5]]+Таблица4[[#This Row],[Столбец4]]</f>
        <v>167.95</v>
      </c>
      <c r="O29" s="28">
        <f>Таблица4[[#This Row],[Столбец14]]/10</f>
        <v>16.794999999999998</v>
      </c>
      <c r="P29" s="29">
        <f>O29-C29</f>
        <v>-18.205000000000002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</row>
    <row r="30" spans="1:1025" s="21" customFormat="1" ht="12.95" customHeight="1" x14ac:dyDescent="0.25">
      <c r="A30" s="22">
        <v>13</v>
      </c>
      <c r="B30" s="38" t="s">
        <v>266</v>
      </c>
      <c r="C30" s="23">
        <v>58</v>
      </c>
      <c r="D30" s="24">
        <v>0</v>
      </c>
      <c r="E30" s="24">
        <v>72.599999999999994</v>
      </c>
      <c r="F30" s="24">
        <v>0</v>
      </c>
      <c r="G30" s="24">
        <v>0</v>
      </c>
      <c r="H30" s="24">
        <v>0</v>
      </c>
      <c r="I30" s="24">
        <v>59.73</v>
      </c>
      <c r="J30" s="24">
        <v>0</v>
      </c>
      <c r="K30" s="24">
        <v>30.1</v>
      </c>
      <c r="L30" s="24">
        <v>0</v>
      </c>
      <c r="M30" s="24">
        <v>0</v>
      </c>
      <c r="N30" s="24">
        <f>SUM(D30:M30)</f>
        <v>162.42999999999998</v>
      </c>
      <c r="O30" s="24">
        <f t="shared" si="1"/>
        <v>16.242999999999999</v>
      </c>
      <c r="P30" s="25">
        <f t="shared" si="2"/>
        <v>-41.757000000000005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</row>
    <row r="31" spans="1:1025" s="21" customFormat="1" ht="12.95" customHeight="1" x14ac:dyDescent="0.25">
      <c r="A31" s="26"/>
      <c r="B31" s="39" t="s">
        <v>266</v>
      </c>
      <c r="C31" s="27">
        <v>58</v>
      </c>
      <c r="D31" s="28">
        <v>0</v>
      </c>
      <c r="E31" s="28">
        <v>0</v>
      </c>
      <c r="F31" s="28">
        <v>0</v>
      </c>
      <c r="G31" s="28">
        <v>58.4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54.55</v>
      </c>
      <c r="N31" s="28">
        <f>Таблица4[[#This Row],[Столбец13]]+Таблица4[[#This Row],[Столбец7]]</f>
        <v>112.94999999999999</v>
      </c>
      <c r="O31" s="28">
        <f>Таблица4[[#This Row],[Столбец14]]/10</f>
        <v>11.294999999999998</v>
      </c>
      <c r="P31" s="29">
        <f>O31-C31</f>
        <v>-46.704999999999998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</row>
    <row r="32" spans="1:1025" s="21" customFormat="1" ht="12.95" customHeight="1" x14ac:dyDescent="0.25">
      <c r="A32" s="22">
        <v>14</v>
      </c>
      <c r="B32" s="38" t="s">
        <v>265</v>
      </c>
      <c r="C32" s="23">
        <v>14.7</v>
      </c>
      <c r="D32" s="24">
        <v>0</v>
      </c>
      <c r="E32" s="24">
        <v>0</v>
      </c>
      <c r="F32" s="24">
        <v>0</v>
      </c>
      <c r="G32" s="24">
        <v>15</v>
      </c>
      <c r="H32" s="24">
        <v>0</v>
      </c>
      <c r="I32" s="24">
        <v>0</v>
      </c>
      <c r="J32" s="24">
        <v>15</v>
      </c>
      <c r="K32" s="24">
        <v>0</v>
      </c>
      <c r="L32" s="24">
        <v>0</v>
      </c>
      <c r="M32" s="24">
        <v>0</v>
      </c>
      <c r="N32" s="24">
        <f>SUM(D32:M32)</f>
        <v>30</v>
      </c>
      <c r="O32" s="24">
        <f t="shared" si="1"/>
        <v>3</v>
      </c>
      <c r="P32" s="25">
        <f t="shared" si="2"/>
        <v>-11.7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</row>
    <row r="33" spans="1:1025" s="21" customFormat="1" ht="12.95" customHeight="1" x14ac:dyDescent="0.25">
      <c r="A33" s="26"/>
      <c r="B33" s="39" t="s">
        <v>265</v>
      </c>
      <c r="C33" s="27">
        <v>14.7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>
        <f>O33-C33</f>
        <v>-14.7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</row>
    <row r="34" spans="1:1025" s="21" customFormat="1" ht="12.95" customHeight="1" x14ac:dyDescent="0.25">
      <c r="A34" s="22">
        <v>15</v>
      </c>
      <c r="B34" s="38" t="s">
        <v>225</v>
      </c>
      <c r="C34" s="23">
        <v>300</v>
      </c>
      <c r="D34" s="24">
        <f>118+100</f>
        <v>218</v>
      </c>
      <c r="E34" s="24"/>
      <c r="F34" s="24">
        <v>139</v>
      </c>
      <c r="G34" s="24">
        <v>88</v>
      </c>
      <c r="H34" s="24">
        <f>156+20.57</f>
        <v>176.57</v>
      </c>
      <c r="I34" s="24">
        <f>17.48+35+22.4+22.5</f>
        <v>97.38</v>
      </c>
      <c r="J34" s="24">
        <v>190</v>
      </c>
      <c r="K34" s="24">
        <v>89</v>
      </c>
      <c r="L34" s="24">
        <v>245</v>
      </c>
      <c r="M34" s="24">
        <v>18.399999999999999</v>
      </c>
      <c r="N34" s="24">
        <f>SUM(D34:M34)</f>
        <v>1261.3499999999999</v>
      </c>
      <c r="O34" s="24">
        <f t="shared" si="1"/>
        <v>126.13499999999999</v>
      </c>
      <c r="P34" s="25">
        <f t="shared" si="2"/>
        <v>-173.86500000000001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1" customFormat="1" ht="12.95" customHeight="1" x14ac:dyDescent="0.25">
      <c r="A35" s="26"/>
      <c r="B35" s="39" t="s">
        <v>225</v>
      </c>
      <c r="C35" s="27">
        <v>300</v>
      </c>
      <c r="D35" s="28">
        <v>200</v>
      </c>
      <c r="E35" s="28"/>
      <c r="F35" s="28"/>
      <c r="G35" s="28">
        <v>24</v>
      </c>
      <c r="H35" s="28">
        <v>32.799999999999997</v>
      </c>
      <c r="I35" s="28">
        <v>200</v>
      </c>
      <c r="J35" s="28"/>
      <c r="K35" s="28"/>
      <c r="L35" s="28"/>
      <c r="M35" s="28">
        <v>22.5</v>
      </c>
      <c r="N35" s="28">
        <f>Таблица4[[#This Row],[Столбец13]]+Таблица4[[#This Row],[Столбец9]]+Таблица4[[#This Row],[Столбец8]]+Таблица4[[#This Row],[Столбец7]]+Таблица4[[#This Row],[Столбец4]]</f>
        <v>479.3</v>
      </c>
      <c r="O35" s="28">
        <f>Таблица4[[#This Row],[Столбец14]]/10</f>
        <v>47.93</v>
      </c>
      <c r="P35" s="29">
        <f>O35-C35</f>
        <v>-252.07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1" customFormat="1" ht="12.95" customHeight="1" x14ac:dyDescent="0.25">
      <c r="A36" s="22">
        <v>16</v>
      </c>
      <c r="B36" s="38" t="s">
        <v>264</v>
      </c>
      <c r="C36" s="23">
        <v>150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 t="shared" si="1"/>
        <v>0</v>
      </c>
      <c r="P36" s="25">
        <f t="shared" si="2"/>
        <v>-150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1" customFormat="1" ht="12.95" customHeight="1" x14ac:dyDescent="0.25">
      <c r="A37" s="26"/>
      <c r="B37" s="39" t="s">
        <v>264</v>
      </c>
      <c r="C37" s="27">
        <v>150</v>
      </c>
      <c r="D37" s="28">
        <v>0</v>
      </c>
      <c r="E37" s="28">
        <v>0</v>
      </c>
      <c r="F37" s="28">
        <v>200</v>
      </c>
      <c r="G37" s="28">
        <v>0</v>
      </c>
      <c r="H37" s="28">
        <v>200</v>
      </c>
      <c r="I37" s="28">
        <v>0</v>
      </c>
      <c r="J37" s="28">
        <v>0</v>
      </c>
      <c r="K37" s="28">
        <v>0</v>
      </c>
      <c r="L37" s="28">
        <v>200</v>
      </c>
      <c r="M37" s="28">
        <v>0</v>
      </c>
      <c r="N37" s="28">
        <v>600</v>
      </c>
      <c r="O37" s="28">
        <v>60</v>
      </c>
      <c r="P37" s="29">
        <f>O37-C37</f>
        <v>-90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s="21" customFormat="1" ht="12.95" customHeight="1" x14ac:dyDescent="0.25">
      <c r="A38" s="22">
        <v>17</v>
      </c>
      <c r="B38" s="38" t="s">
        <v>233</v>
      </c>
      <c r="C38" s="23">
        <v>50</v>
      </c>
      <c r="D38" s="24">
        <v>0</v>
      </c>
      <c r="E38" s="24">
        <v>0</v>
      </c>
      <c r="F38" s="24">
        <v>140</v>
      </c>
      <c r="G38" s="24">
        <v>0</v>
      </c>
      <c r="H38" s="24">
        <v>0</v>
      </c>
      <c r="I38" s="24">
        <v>0</v>
      </c>
      <c r="J38" s="24">
        <v>0</v>
      </c>
      <c r="K38" s="24">
        <v>140</v>
      </c>
      <c r="L38" s="24">
        <v>0</v>
      </c>
      <c r="M38" s="24">
        <v>0</v>
      </c>
      <c r="N38" s="24">
        <f t="shared" ref="N38:N50" si="3">SUM(D38:M38)</f>
        <v>280</v>
      </c>
      <c r="O38" s="24">
        <f t="shared" si="1"/>
        <v>28</v>
      </c>
      <c r="P38" s="25">
        <f t="shared" si="2"/>
        <v>-22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</row>
    <row r="39" spans="1:1025" s="21" customFormat="1" ht="12.95" customHeight="1" x14ac:dyDescent="0.25">
      <c r="A39" s="26"/>
      <c r="B39" s="39" t="s">
        <v>233</v>
      </c>
      <c r="C39" s="27">
        <v>50</v>
      </c>
      <c r="D39" s="28">
        <v>0</v>
      </c>
      <c r="E39" s="28">
        <v>0</v>
      </c>
      <c r="F39" s="28">
        <v>0</v>
      </c>
      <c r="G39" s="28">
        <v>0</v>
      </c>
      <c r="H39" s="28">
        <v>135</v>
      </c>
      <c r="I39" s="28">
        <v>0</v>
      </c>
      <c r="J39" s="28">
        <v>30</v>
      </c>
      <c r="K39" s="28">
        <v>0</v>
      </c>
      <c r="L39" s="28">
        <v>0</v>
      </c>
      <c r="M39" s="28">
        <v>0</v>
      </c>
      <c r="N39" s="28">
        <v>165</v>
      </c>
      <c r="O39" s="28">
        <v>16.5</v>
      </c>
      <c r="P39" s="29">
        <f>O39-C39</f>
        <v>-33.5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</row>
    <row r="40" spans="1:1025" s="21" customFormat="1" ht="12.95" customHeight="1" x14ac:dyDescent="0.25">
      <c r="A40" s="22">
        <v>18</v>
      </c>
      <c r="B40" s="38" t="s">
        <v>263</v>
      </c>
      <c r="C40" s="23">
        <v>9.8000000000000007</v>
      </c>
      <c r="D40" s="24">
        <v>15</v>
      </c>
      <c r="E40" s="24">
        <v>0</v>
      </c>
      <c r="F40" s="24">
        <v>0</v>
      </c>
      <c r="G40" s="24">
        <v>29.6</v>
      </c>
      <c r="H40" s="24">
        <v>20</v>
      </c>
      <c r="I40" s="24">
        <v>4.17</v>
      </c>
      <c r="J40" s="24"/>
      <c r="K40" s="24"/>
      <c r="L40" s="24">
        <v>4.62</v>
      </c>
      <c r="M40" s="24"/>
      <c r="N40" s="24">
        <f t="shared" si="3"/>
        <v>73.39</v>
      </c>
      <c r="O40" s="24">
        <f t="shared" si="1"/>
        <v>7.3390000000000004</v>
      </c>
      <c r="P40" s="25">
        <f t="shared" si="2"/>
        <v>-2.4610000000000003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</row>
    <row r="41" spans="1:1025" s="21" customFormat="1" ht="12.95" customHeight="1" x14ac:dyDescent="0.25">
      <c r="A41" s="26"/>
      <c r="B41" s="38" t="s">
        <v>263</v>
      </c>
      <c r="C41" s="23">
        <v>9.8000000000000007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>
        <f>O41-C41</f>
        <v>-9.8000000000000007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s="21" customFormat="1" ht="12.95" customHeight="1" x14ac:dyDescent="0.25">
      <c r="A42" s="22">
        <v>19</v>
      </c>
      <c r="B42" s="38" t="s">
        <v>227</v>
      </c>
      <c r="C42" s="23">
        <v>10</v>
      </c>
      <c r="D42" s="24">
        <v>12.5</v>
      </c>
      <c r="E42" s="24">
        <v>37.5</v>
      </c>
      <c r="F42" s="24">
        <v>5</v>
      </c>
      <c r="G42" s="24"/>
      <c r="H42" s="24"/>
      <c r="I42" s="24"/>
      <c r="J42" s="24">
        <v>10</v>
      </c>
      <c r="K42" s="24">
        <v>5</v>
      </c>
      <c r="L42" s="24"/>
      <c r="M42" s="24">
        <v>15</v>
      </c>
      <c r="N42" s="24">
        <f t="shared" si="3"/>
        <v>85</v>
      </c>
      <c r="O42" s="24">
        <f t="shared" si="1"/>
        <v>8.5</v>
      </c>
      <c r="P42" s="25">
        <f t="shared" si="2"/>
        <v>-1.5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s="21" customFormat="1" ht="12.95" customHeight="1" x14ac:dyDescent="0.25">
      <c r="A43" s="26"/>
      <c r="B43" s="39" t="s">
        <v>227</v>
      </c>
      <c r="C43" s="27">
        <v>10</v>
      </c>
      <c r="D43" s="28">
        <v>0</v>
      </c>
      <c r="E43" s="28">
        <v>4.16</v>
      </c>
      <c r="F43" s="28">
        <v>12.5</v>
      </c>
      <c r="G43" s="28"/>
      <c r="H43" s="28">
        <f>22.5+4.99</f>
        <v>27.490000000000002</v>
      </c>
      <c r="I43" s="28">
        <v>15</v>
      </c>
      <c r="J43" s="28">
        <v>12.5</v>
      </c>
      <c r="K43" s="28"/>
      <c r="L43" s="28"/>
      <c r="M43" s="28">
        <v>18.100000000000001</v>
      </c>
      <c r="N43" s="28">
        <f>Таблица4[[#This Row],[Столбец13]]+Таблица4[[#This Row],[Столбец10]]+Таблица4[[#This Row],[Столбец9]]+Таблица4[[#This Row],[Столбец8]]+Таблица4[[#This Row],[Столбец6]]+Таблица4[[#This Row],[Столбец5]]</f>
        <v>89.75</v>
      </c>
      <c r="O43" s="28">
        <f>Таблица4[[#This Row],[Столбец14]]/10</f>
        <v>8.9749999999999996</v>
      </c>
      <c r="P43" s="29">
        <f>O43-C43</f>
        <v>-1.0250000000000004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</row>
    <row r="44" spans="1:1025" s="21" customFormat="1" ht="12.95" customHeight="1" x14ac:dyDescent="0.25">
      <c r="A44" s="22">
        <v>20</v>
      </c>
      <c r="B44" s="38" t="s">
        <v>224</v>
      </c>
      <c r="C44" s="23">
        <v>30</v>
      </c>
      <c r="D44" s="24">
        <f>5+5+3.19+4.1+6.6</f>
        <v>23.89</v>
      </c>
      <c r="E44" s="24">
        <f>1.25+6.4</f>
        <v>7.65</v>
      </c>
      <c r="F44" s="24">
        <f>15+0.88</f>
        <v>15.88</v>
      </c>
      <c r="G44" s="24">
        <v>4</v>
      </c>
      <c r="H44" s="24">
        <f>5+5+5+6.6</f>
        <v>21.6</v>
      </c>
      <c r="I44" s="24">
        <f>5.71+2.8+7.31+6.75</f>
        <v>22.57</v>
      </c>
      <c r="J44" s="24">
        <v>5</v>
      </c>
      <c r="K44" s="24">
        <v>2.5</v>
      </c>
      <c r="L44" s="24">
        <f>6.6+2.8+4.5</f>
        <v>13.899999999999999</v>
      </c>
      <c r="M44" s="24">
        <v>8.33</v>
      </c>
      <c r="N44" s="24">
        <f t="shared" si="3"/>
        <v>125.32000000000001</v>
      </c>
      <c r="O44" s="24">
        <f t="shared" si="1"/>
        <v>12.532</v>
      </c>
      <c r="P44" s="25">
        <f t="shared" si="2"/>
        <v>-17.468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</row>
    <row r="45" spans="1:1025" s="21" customFormat="1" ht="12.95" customHeight="1" x14ac:dyDescent="0.25">
      <c r="A45" s="26"/>
      <c r="B45" s="39" t="s">
        <v>224</v>
      </c>
      <c r="C45" s="27">
        <v>30</v>
      </c>
      <c r="D45" s="28">
        <f>5+5.41+6.75</f>
        <v>17.16</v>
      </c>
      <c r="E45" s="28">
        <f>5+7.5+7.5</f>
        <v>20</v>
      </c>
      <c r="F45" s="28">
        <v>5</v>
      </c>
      <c r="G45" s="28">
        <f>1.92+6.75</f>
        <v>8.67</v>
      </c>
      <c r="H45" s="28">
        <f>1.6+1.5+2</f>
        <v>5.0999999999999996</v>
      </c>
      <c r="I45" s="28">
        <v>7.05</v>
      </c>
      <c r="J45" s="28">
        <v>5</v>
      </c>
      <c r="K45" s="28">
        <v>9.75</v>
      </c>
      <c r="L45" s="28">
        <f>0.88+6.75</f>
        <v>7.63</v>
      </c>
      <c r="M45" s="28">
        <f>5.9+6.75</f>
        <v>12.65</v>
      </c>
      <c r="N45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98.009999999999991</v>
      </c>
      <c r="O45" s="28">
        <f>Таблица4[[#This Row],[Столбец14]]/10</f>
        <v>9.8009999999999984</v>
      </c>
      <c r="P45" s="29">
        <f>O45-C45</f>
        <v>-20.199000000000002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</row>
    <row r="46" spans="1:1025" s="21" customFormat="1" ht="12.95" customHeight="1" x14ac:dyDescent="0.25">
      <c r="A46" s="22">
        <v>21</v>
      </c>
      <c r="B46" s="38" t="s">
        <v>228</v>
      </c>
      <c r="C46" s="23">
        <v>15</v>
      </c>
      <c r="D46" s="24">
        <v>5</v>
      </c>
      <c r="E46" s="24">
        <f>1.2+3.6+5+7</f>
        <v>16.8</v>
      </c>
      <c r="F46" s="24">
        <f>3.6+2.5+7.86</f>
        <v>13.96</v>
      </c>
      <c r="G46" s="24">
        <f>2+3.6+2.5+3.8+4</f>
        <v>15.899999999999999</v>
      </c>
      <c r="H46" s="24">
        <f>3.6+2.28</f>
        <v>5.88</v>
      </c>
      <c r="I46" s="24">
        <f>1.46+3.6+5</f>
        <v>10.06</v>
      </c>
      <c r="J46" s="24">
        <f>3.6+5+7.3</f>
        <v>15.899999999999999</v>
      </c>
      <c r="K46" s="24">
        <v>8.51</v>
      </c>
      <c r="L46" s="24">
        <f>3.6+5</f>
        <v>8.6</v>
      </c>
      <c r="M46" s="24">
        <v>16.2</v>
      </c>
      <c r="N46" s="24">
        <f t="shared" si="3"/>
        <v>116.81</v>
      </c>
      <c r="O46" s="24">
        <f t="shared" si="1"/>
        <v>11.681000000000001</v>
      </c>
      <c r="P46" s="25">
        <f t="shared" si="2"/>
        <v>-3.3189999999999991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s="21" customFormat="1" ht="12.95" customHeight="1" x14ac:dyDescent="0.25">
      <c r="A47" s="26"/>
      <c r="B47" s="39" t="s">
        <v>228</v>
      </c>
      <c r="C47" s="27">
        <v>15</v>
      </c>
      <c r="D47" s="28">
        <v>3.6</v>
      </c>
      <c r="E47" s="28">
        <v>3.6</v>
      </c>
      <c r="F47" s="28">
        <f>5+8.51</f>
        <v>13.51</v>
      </c>
      <c r="G47" s="28">
        <f>3.6+2.5+1.6</f>
        <v>7.6999999999999993</v>
      </c>
      <c r="H47" s="28">
        <f>3.6+5+6</f>
        <v>14.6</v>
      </c>
      <c r="I47" s="28">
        <f>5+2.28</f>
        <v>7.2799999999999994</v>
      </c>
      <c r="J47" s="28">
        <f>3.6+5+9.2</f>
        <v>17.799999999999997</v>
      </c>
      <c r="K47" s="28">
        <f>2.5+1.6</f>
        <v>4.0999999999999996</v>
      </c>
      <c r="L47" s="28">
        <f>3.6+2.5</f>
        <v>6.1</v>
      </c>
      <c r="M47" s="28">
        <v>8</v>
      </c>
      <c r="N47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86.289999999999992</v>
      </c>
      <c r="O47" s="28">
        <f>Таблица4[[#This Row],[Столбец14]]/10</f>
        <v>8.6289999999999996</v>
      </c>
      <c r="P47" s="29">
        <f>O47-C47</f>
        <v>-6.3710000000000004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</row>
    <row r="48" spans="1:1025" s="21" customFormat="1" ht="12.95" customHeight="1" x14ac:dyDescent="0.25">
      <c r="A48" s="22">
        <v>22</v>
      </c>
      <c r="B48" s="38" t="s">
        <v>262</v>
      </c>
      <c r="C48" s="23">
        <v>40</v>
      </c>
      <c r="D48" s="24"/>
      <c r="E48" s="24"/>
      <c r="F48" s="24">
        <f>4.6+2.2</f>
        <v>6.8</v>
      </c>
      <c r="G48" s="24">
        <v>80</v>
      </c>
      <c r="H48" s="24">
        <v>40</v>
      </c>
      <c r="I48" s="24">
        <f>15.2+2.45</f>
        <v>17.649999999999999</v>
      </c>
      <c r="J48" s="24">
        <v>0</v>
      </c>
      <c r="K48" s="24">
        <v>4</v>
      </c>
      <c r="L48" s="24">
        <v>11.84</v>
      </c>
      <c r="M48" s="24"/>
      <c r="N48" s="24">
        <f t="shared" si="3"/>
        <v>160.29</v>
      </c>
      <c r="O48" s="24">
        <f t="shared" si="1"/>
        <v>16.029</v>
      </c>
      <c r="P48" s="25">
        <f t="shared" si="2"/>
        <v>-23.971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s="21" customFormat="1" ht="12.95" customHeight="1" x14ac:dyDescent="0.25">
      <c r="A49" s="26"/>
      <c r="B49" s="38" t="s">
        <v>262</v>
      </c>
      <c r="C49" s="27">
        <v>40</v>
      </c>
      <c r="D49" s="28"/>
      <c r="E49" s="28"/>
      <c r="F49" s="28">
        <v>3</v>
      </c>
      <c r="G49" s="28">
        <f>2.01+14</f>
        <v>16.009999999999998</v>
      </c>
      <c r="H49" s="28">
        <f>5.28+4.99</f>
        <v>10.27</v>
      </c>
      <c r="I49" s="28">
        <v>0</v>
      </c>
      <c r="J49" s="28">
        <v>5</v>
      </c>
      <c r="K49" s="28">
        <v>9.0399999999999991</v>
      </c>
      <c r="L49" s="28">
        <v>2.2000000000000002</v>
      </c>
      <c r="M49" s="28"/>
      <c r="N49" s="28">
        <f>Таблица4[[#This Row],[Столбец12]]+Таблица4[[#This Row],[Столбец11]]+Таблица4[[#This Row],[Столбец10]]+Таблица4[[#This Row],[Столбец8]]+Таблица4[[#This Row],[Столбец7]]+Таблица4[[#This Row],[Столбец6]]</f>
        <v>45.519999999999996</v>
      </c>
      <c r="O49" s="28">
        <f>Таблица4[[#This Row],[Столбец14]]/10</f>
        <v>4.5519999999999996</v>
      </c>
      <c r="P49" s="29">
        <f>O49-C49</f>
        <v>-35.448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1" customFormat="1" ht="12.95" customHeight="1" x14ac:dyDescent="0.25">
      <c r="A50" s="22">
        <v>23</v>
      </c>
      <c r="B50" s="38" t="s">
        <v>261</v>
      </c>
      <c r="C50" s="23">
        <v>40</v>
      </c>
      <c r="D50" s="24">
        <f>5+10+2.5+0.63+10</f>
        <v>28.13</v>
      </c>
      <c r="E50" s="24">
        <f>10+0.72+10</f>
        <v>20.72</v>
      </c>
      <c r="F50" s="24">
        <f>10+4.2+10+0.72+15</f>
        <v>39.92</v>
      </c>
      <c r="G50" s="24">
        <f>0.72+7.61+10</f>
        <v>18.329999999999998</v>
      </c>
      <c r="H50" s="24">
        <f>5+10+10</f>
        <v>25</v>
      </c>
      <c r="I50" s="24">
        <v>23</v>
      </c>
      <c r="J50" s="24">
        <f>5+10+10</f>
        <v>25</v>
      </c>
      <c r="K50" s="24">
        <f>10+21+10+10</f>
        <v>51</v>
      </c>
      <c r="L50" s="24">
        <f>5+10+10</f>
        <v>25</v>
      </c>
      <c r="M50" s="24">
        <v>22.5</v>
      </c>
      <c r="N50" s="24">
        <f t="shared" si="3"/>
        <v>278.60000000000002</v>
      </c>
      <c r="O50" s="24">
        <f t="shared" si="1"/>
        <v>27.860000000000003</v>
      </c>
      <c r="P50" s="25">
        <f t="shared" si="2"/>
        <v>-12.139999999999997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</row>
    <row r="51" spans="1:1025" s="21" customFormat="1" ht="12.95" customHeight="1" x14ac:dyDescent="0.25">
      <c r="A51" s="26"/>
      <c r="B51" s="39" t="s">
        <v>261</v>
      </c>
      <c r="C51" s="27">
        <v>40</v>
      </c>
      <c r="D51" s="28">
        <v>10</v>
      </c>
      <c r="E51" s="28">
        <v>10</v>
      </c>
      <c r="F51" s="28">
        <v>17.5</v>
      </c>
      <c r="G51" s="28">
        <v>14.5</v>
      </c>
      <c r="H51" s="28">
        <f>10+15</f>
        <v>25</v>
      </c>
      <c r="I51" s="28">
        <f>2.5+0.87+10</f>
        <v>13.370000000000001</v>
      </c>
      <c r="J51" s="28">
        <f>2.5+10+6.9</f>
        <v>19.399999999999999</v>
      </c>
      <c r="K51" s="28">
        <v>11.35</v>
      </c>
      <c r="L51" s="28">
        <v>10</v>
      </c>
      <c r="M51" s="28">
        <v>15</v>
      </c>
      <c r="N5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146.12</v>
      </c>
      <c r="O51" s="28">
        <f>Таблица4[[#This Row],[Столбец14]]/10</f>
        <v>14.612</v>
      </c>
      <c r="P51" s="29">
        <f>O51-C51</f>
        <v>-25.387999999999998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</row>
    <row r="52" spans="1:1025" s="21" customFormat="1" ht="12.95" customHeight="1" x14ac:dyDescent="0.25">
      <c r="A52" s="22">
        <v>24</v>
      </c>
      <c r="B52" s="38" t="s">
        <v>260</v>
      </c>
      <c r="C52" s="23">
        <v>10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2"/>
        <v>-10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</row>
    <row r="53" spans="1:1025" s="21" customFormat="1" ht="12.95" customHeight="1" x14ac:dyDescent="0.25">
      <c r="A53" s="26"/>
      <c r="B53" s="39" t="s">
        <v>260</v>
      </c>
      <c r="C53" s="27">
        <v>10</v>
      </c>
      <c r="D53" s="28">
        <v>30</v>
      </c>
      <c r="E53" s="28"/>
      <c r="F53" s="28">
        <v>100</v>
      </c>
      <c r="G53" s="28">
        <v>30</v>
      </c>
      <c r="H53" s="28"/>
      <c r="I53" s="28">
        <v>45</v>
      </c>
      <c r="J53" s="28">
        <v>100</v>
      </c>
      <c r="K53" s="28">
        <v>30</v>
      </c>
      <c r="L53" s="28"/>
      <c r="M53" s="28">
        <v>30</v>
      </c>
      <c r="N53" s="28">
        <f>Таблица4[[#This Row],[Столбец13]]+Таблица4[[#This Row],[Столбец11]]+Таблица4[[#This Row],[Столбец10]]+Таблица4[[#This Row],[Столбец9]]+Таблица4[[#This Row],[Столбец7]]+Таблица4[[#This Row],[Столбец6]]+Таблица4[[#This Row],[Столбец4]]</f>
        <v>365</v>
      </c>
      <c r="O53" s="28">
        <f>Таблица4[[#This Row],[Столбец14]]/10</f>
        <v>36.5</v>
      </c>
      <c r="P53" s="29">
        <f>O53-C53</f>
        <v>26.5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</row>
    <row r="54" spans="1:1025" s="21" customFormat="1" ht="12.95" customHeight="1" x14ac:dyDescent="0.25">
      <c r="A54" s="22">
        <v>25</v>
      </c>
      <c r="B54" s="38" t="s">
        <v>259</v>
      </c>
      <c r="C54" s="23">
        <v>0.4</v>
      </c>
      <c r="D54" s="24"/>
      <c r="E54" s="24">
        <v>1</v>
      </c>
      <c r="F54" s="24"/>
      <c r="G54" s="24">
        <v>0</v>
      </c>
      <c r="H54" s="24">
        <v>1</v>
      </c>
      <c r="I54" s="24">
        <v>1</v>
      </c>
      <c r="J54" s="24"/>
      <c r="K54" s="24">
        <v>1</v>
      </c>
      <c r="L54" s="24"/>
      <c r="M54" s="24">
        <v>1</v>
      </c>
      <c r="N54" s="24">
        <f>SUM(D54:M54)</f>
        <v>5</v>
      </c>
      <c r="O54" s="24">
        <f t="shared" si="1"/>
        <v>0.5</v>
      </c>
      <c r="P54" s="25">
        <f t="shared" si="2"/>
        <v>9.9999999999999978E-2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</row>
    <row r="55" spans="1:1025" s="21" customFormat="1" ht="12.95" customHeight="1" x14ac:dyDescent="0.25">
      <c r="A55" s="26"/>
      <c r="B55" s="38" t="s">
        <v>259</v>
      </c>
      <c r="C55" s="23">
        <v>0.4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>
        <f>O55-C55</f>
        <v>-0.4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</row>
    <row r="56" spans="1:1025" s="21" customFormat="1" ht="12.95" customHeight="1" x14ac:dyDescent="0.25">
      <c r="A56" s="22">
        <v>26</v>
      </c>
      <c r="B56" s="38" t="s">
        <v>258</v>
      </c>
      <c r="C56" s="23">
        <v>1.2</v>
      </c>
      <c r="D56" s="24">
        <v>0</v>
      </c>
      <c r="E56" s="24"/>
      <c r="F56" s="24">
        <v>2.4</v>
      </c>
      <c r="G56" s="24"/>
      <c r="H56" s="24"/>
      <c r="I56" s="24"/>
      <c r="J56" s="24"/>
      <c r="K56" s="24"/>
      <c r="L56" s="24">
        <v>2.4</v>
      </c>
      <c r="M56" s="24"/>
      <c r="N56" s="24">
        <f>SUM(D56:M56)</f>
        <v>4.8</v>
      </c>
      <c r="O56" s="24">
        <f t="shared" si="1"/>
        <v>0.48</v>
      </c>
      <c r="P56" s="25">
        <f t="shared" si="2"/>
        <v>-0.72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</row>
    <row r="57" spans="1:1025" s="21" customFormat="1" ht="12.95" customHeight="1" x14ac:dyDescent="0.25">
      <c r="A57" s="26"/>
      <c r="B57" s="38" t="s">
        <v>258</v>
      </c>
      <c r="C57" s="23">
        <v>1.2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>
        <f>O57-C57</f>
        <v>-1.2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1" customFormat="1" ht="12.95" customHeight="1" x14ac:dyDescent="0.25">
      <c r="A58" s="22">
        <v>27</v>
      </c>
      <c r="B58" s="38" t="s">
        <v>226</v>
      </c>
      <c r="C58" s="23">
        <v>2</v>
      </c>
      <c r="D58" s="24">
        <v>2.4</v>
      </c>
      <c r="E58" s="24"/>
      <c r="F58" s="24"/>
      <c r="G58" s="24">
        <v>2.4</v>
      </c>
      <c r="H58" s="24"/>
      <c r="I58" s="24"/>
      <c r="J58" s="24">
        <v>2.4</v>
      </c>
      <c r="K58" s="24"/>
      <c r="L58" s="24"/>
      <c r="M58" s="24"/>
      <c r="N58" s="24">
        <v>7.2</v>
      </c>
      <c r="O58" s="24">
        <v>0.72</v>
      </c>
      <c r="P58" s="25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1" customFormat="1" ht="12.95" customHeight="1" x14ac:dyDescent="0.25">
      <c r="A59" s="22">
        <v>28</v>
      </c>
      <c r="B59" s="38" t="s">
        <v>257</v>
      </c>
      <c r="C59" s="23">
        <v>1</v>
      </c>
      <c r="D59" s="24"/>
      <c r="E59" s="24"/>
      <c r="F59" s="24">
        <v>2</v>
      </c>
      <c r="G59" s="24"/>
      <c r="H59" s="24"/>
      <c r="I59" s="24"/>
      <c r="J59" s="24">
        <v>1.5</v>
      </c>
      <c r="K59" s="24"/>
      <c r="L59" s="24"/>
      <c r="M59" s="24"/>
      <c r="N59" s="24">
        <v>3.5</v>
      </c>
      <c r="O59" s="24">
        <f>N59/10</f>
        <v>0.35</v>
      </c>
      <c r="P59" s="25">
        <f>O59-C59</f>
        <v>-0.65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1" customFormat="1" ht="12.95" customHeight="1" x14ac:dyDescent="0.25">
      <c r="A60" s="32">
        <v>29</v>
      </c>
      <c r="B60" s="40" t="s">
        <v>256</v>
      </c>
      <c r="C60" s="33">
        <v>5</v>
      </c>
      <c r="D60" s="34">
        <f>0.34+0.35</f>
        <v>0.69</v>
      </c>
      <c r="E60" s="34">
        <f>1.5+1.2+0.35+0.15</f>
        <v>3.2</v>
      </c>
      <c r="F60" s="34">
        <f>0.15+0.22</f>
        <v>0.37</v>
      </c>
      <c r="G60" s="34">
        <f>1+2+0.38+1</f>
        <v>4.38</v>
      </c>
      <c r="H60" s="34">
        <f>0.15+1.5</f>
        <v>1.65</v>
      </c>
      <c r="I60" s="34">
        <v>6.9</v>
      </c>
      <c r="J60" s="34">
        <v>2</v>
      </c>
      <c r="K60" s="34">
        <f>1.5+2</f>
        <v>3.5</v>
      </c>
      <c r="L60" s="34">
        <f>0.15+2+0.4+0.28</f>
        <v>2.83</v>
      </c>
      <c r="M60" s="34">
        <f>0.9+1.33</f>
        <v>2.23</v>
      </c>
      <c r="N60" s="34">
        <v>25</v>
      </c>
      <c r="O60" s="34">
        <v>2.5</v>
      </c>
      <c r="P60" s="35">
        <f>O60-C60</f>
        <v>-2.5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1" customFormat="1" ht="12.95" customHeight="1" x14ac:dyDescent="0.25">
      <c r="A61" s="26"/>
      <c r="B61" s="39" t="s">
        <v>256</v>
      </c>
      <c r="C61" s="27">
        <v>5</v>
      </c>
      <c r="D61" s="28">
        <f>0.15+0.41+2.55</f>
        <v>3.11</v>
      </c>
      <c r="E61" s="28">
        <f>0.25+2+0.5</f>
        <v>2.75</v>
      </c>
      <c r="F61" s="28">
        <v>1</v>
      </c>
      <c r="G61" s="28">
        <f>2+0.8</f>
        <v>2.8</v>
      </c>
      <c r="H61" s="28">
        <f>0.15+2+0.32+0.75</f>
        <v>3.2199999999999998</v>
      </c>
      <c r="I61" s="28">
        <f>2+0.45+1.05+0.35</f>
        <v>3.85</v>
      </c>
      <c r="J61" s="28">
        <f>0.15+0.92</f>
        <v>1.07</v>
      </c>
      <c r="K61" s="28">
        <f>2+0.32+1</f>
        <v>3.32</v>
      </c>
      <c r="L61" s="28">
        <f>0.15+0.22+0.28</f>
        <v>0.65</v>
      </c>
      <c r="M61" s="28">
        <f>2+0.7+0.6</f>
        <v>3.3000000000000003</v>
      </c>
      <c r="N6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25.07</v>
      </c>
      <c r="O61" s="28">
        <f>Таблица4[[#This Row],[Столбец14]]/10</f>
        <v>2.5070000000000001</v>
      </c>
      <c r="P61" s="29">
        <f>O61-C61</f>
        <v>-2.4929999999999999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</row>
  </sheetData>
  <mergeCells count="10">
    <mergeCell ref="A1:P1"/>
    <mergeCell ref="D2:M2"/>
    <mergeCell ref="D3:H3"/>
    <mergeCell ref="I3:M3"/>
    <mergeCell ref="N2:N4"/>
    <mergeCell ref="O2:O4"/>
    <mergeCell ref="P2:P4"/>
    <mergeCell ref="B2:B4"/>
    <mergeCell ref="A2:A4"/>
    <mergeCell ref="C2:C3"/>
  </mergeCells>
  <pageMargins left="0.19685039370078741" right="0.19685039370078741" top="0.19685039370078741" bottom="0.19685039370078741" header="0" footer="0"/>
  <pageSetup paperSize="9" scale="71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Мл.школьники</vt:lpstr>
      <vt:lpstr>Вед 7-10</vt:lpstr>
      <vt:lpstr>'Вед 7-10'!Область_печати</vt:lpstr>
      <vt:lpstr>Мл.школьники!Область_печати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Лютикова</dc:creator>
  <cp:lastModifiedBy>Пользователь Windows</cp:lastModifiedBy>
  <cp:lastPrinted>2020-08-26T02:59:11Z</cp:lastPrinted>
  <dcterms:created xsi:type="dcterms:W3CDTF">2020-07-25T05:47:13Z</dcterms:created>
  <dcterms:modified xsi:type="dcterms:W3CDTF">2020-08-26T03:01:30Z</dcterms:modified>
</cp:coreProperties>
</file>