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05" windowWidth="27555" windowHeight="12300"/>
  </bookViews>
  <sheets>
    <sheet name="Ст.школьники" sheetId="4" r:id="rId1"/>
    <sheet name="Вед 11-18" sheetId="5" r:id="rId2"/>
  </sheets>
  <definedNames>
    <definedName name="_xlnm.Print_Area" localSheetId="1">'Вед 11-18'!$A$1:$P$62</definedName>
    <definedName name="_xlnm.Print_Area" localSheetId="0">Ст.школьники!$A$1:$O$956</definedName>
  </definedNames>
  <calcPr calcId="152511"/>
</workbook>
</file>

<file path=xl/calcChain.xml><?xml version="1.0" encoding="utf-8"?>
<calcChain xmlns="http://schemas.openxmlformats.org/spreadsheetml/2006/main">
  <c r="F20" i="5" l="1"/>
  <c r="E909" i="4"/>
  <c r="F909" i="4"/>
  <c r="G909" i="4"/>
  <c r="H909" i="4"/>
  <c r="I909" i="4"/>
  <c r="J909" i="4"/>
  <c r="K909" i="4"/>
  <c r="L909" i="4"/>
  <c r="M909" i="4"/>
  <c r="N909" i="4"/>
  <c r="O909" i="4"/>
  <c r="D909" i="4"/>
  <c r="C633" i="4" l="1"/>
  <c r="M62" i="5" l="1"/>
  <c r="M61" i="5"/>
  <c r="L62" i="5"/>
  <c r="L61" i="5"/>
  <c r="K62" i="5"/>
  <c r="J61" i="5"/>
  <c r="I62" i="5"/>
  <c r="I61" i="5"/>
  <c r="H62" i="5"/>
  <c r="H61" i="5"/>
  <c r="G61" i="5"/>
  <c r="F61" i="5"/>
  <c r="E62" i="5"/>
  <c r="E61" i="5"/>
  <c r="D62" i="5"/>
  <c r="D61" i="5"/>
  <c r="M50" i="5"/>
  <c r="L50" i="5"/>
  <c r="K50" i="5"/>
  <c r="J51" i="5"/>
  <c r="J50" i="5"/>
  <c r="I51" i="5"/>
  <c r="H51" i="5"/>
  <c r="H50" i="5"/>
  <c r="G50" i="5"/>
  <c r="F50" i="5"/>
  <c r="D50" i="5"/>
  <c r="I48" i="5"/>
  <c r="H49" i="5"/>
  <c r="G49" i="5"/>
  <c r="M46" i="5"/>
  <c r="K47" i="5"/>
  <c r="K46" i="5"/>
  <c r="J47" i="5"/>
  <c r="J46" i="5"/>
  <c r="I46" i="5"/>
  <c r="H47" i="5"/>
  <c r="H46" i="5"/>
  <c r="G47" i="5"/>
  <c r="G46" i="5"/>
  <c r="F46" i="5"/>
  <c r="E46" i="5"/>
  <c r="M45" i="5"/>
  <c r="L45" i="5"/>
  <c r="L44" i="5"/>
  <c r="K45" i="5"/>
  <c r="I45" i="5"/>
  <c r="I44" i="5"/>
  <c r="H45" i="5"/>
  <c r="H44" i="5"/>
  <c r="G45" i="5"/>
  <c r="F44" i="5"/>
  <c r="E45" i="5"/>
  <c r="E44" i="5"/>
  <c r="D45" i="5"/>
  <c r="D44" i="5"/>
  <c r="H43" i="5"/>
  <c r="E42" i="5"/>
  <c r="L34" i="5"/>
  <c r="J34" i="5"/>
  <c r="I34" i="5"/>
  <c r="H34" i="5"/>
  <c r="G34" i="5"/>
  <c r="D34" i="5"/>
  <c r="H28" i="5"/>
  <c r="D21" i="5"/>
  <c r="J21" i="5"/>
  <c r="H20" i="5"/>
  <c r="M19" i="5"/>
  <c r="L19" i="5"/>
  <c r="L18" i="5"/>
  <c r="K19" i="5"/>
  <c r="K18" i="5"/>
  <c r="J19" i="5"/>
  <c r="J18" i="5"/>
  <c r="I19" i="5"/>
  <c r="I18" i="5"/>
  <c r="H19" i="5"/>
  <c r="H18" i="5"/>
  <c r="G19" i="5"/>
  <c r="G18" i="5"/>
  <c r="F19" i="5"/>
  <c r="F18" i="5"/>
  <c r="E19" i="5"/>
  <c r="E18" i="5"/>
  <c r="D19" i="5"/>
  <c r="D18" i="5"/>
  <c r="M17" i="5" l="1"/>
  <c r="K16" i="5"/>
  <c r="J16" i="5"/>
  <c r="I16" i="5"/>
  <c r="F17" i="5"/>
  <c r="F16" i="5"/>
  <c r="E16" i="5"/>
  <c r="M12" i="5"/>
  <c r="L12" i="5"/>
  <c r="J12" i="5"/>
  <c r="H12" i="5"/>
  <c r="E13" i="5"/>
  <c r="D12" i="5"/>
  <c r="I10" i="5"/>
  <c r="H11" i="5"/>
  <c r="G11" i="5"/>
  <c r="F11" i="5"/>
  <c r="F10" i="5"/>
  <c r="I8" i="5"/>
  <c r="H8" i="5"/>
  <c r="D8" i="5"/>
  <c r="C171" i="4" l="1"/>
  <c r="O898" i="4" l="1"/>
  <c r="N898" i="4"/>
  <c r="M898" i="4"/>
  <c r="L898" i="4"/>
  <c r="K898" i="4"/>
  <c r="J898" i="4"/>
  <c r="I898" i="4"/>
  <c r="H898" i="4"/>
  <c r="G898" i="4"/>
  <c r="F898" i="4"/>
  <c r="E898" i="4"/>
  <c r="D898" i="4"/>
  <c r="C897" i="4"/>
  <c r="C896" i="4"/>
  <c r="O892" i="4"/>
  <c r="N892" i="4"/>
  <c r="M892" i="4"/>
  <c r="L892" i="4"/>
  <c r="K892" i="4"/>
  <c r="J892" i="4"/>
  <c r="I892" i="4"/>
  <c r="H892" i="4"/>
  <c r="G892" i="4"/>
  <c r="F892" i="4"/>
  <c r="E892" i="4"/>
  <c r="D892" i="4"/>
  <c r="C895" i="4"/>
  <c r="C894" i="4"/>
  <c r="C893" i="4"/>
  <c r="O866" i="4"/>
  <c r="N866" i="4"/>
  <c r="M866" i="4"/>
  <c r="L866" i="4"/>
  <c r="K866" i="4"/>
  <c r="J866" i="4"/>
  <c r="I866" i="4"/>
  <c r="H866" i="4"/>
  <c r="G866" i="4"/>
  <c r="F866" i="4"/>
  <c r="E866" i="4"/>
  <c r="D866" i="4"/>
  <c r="O835" i="4"/>
  <c r="N835" i="4"/>
  <c r="M835" i="4"/>
  <c r="L835" i="4"/>
  <c r="K835" i="4"/>
  <c r="J835" i="4"/>
  <c r="I835" i="4"/>
  <c r="H835" i="4"/>
  <c r="G835" i="4"/>
  <c r="F835" i="4"/>
  <c r="E835" i="4"/>
  <c r="D835" i="4"/>
  <c r="C838" i="4"/>
  <c r="C836" i="4"/>
  <c r="O812" i="4"/>
  <c r="N812" i="4"/>
  <c r="M812" i="4"/>
  <c r="L812" i="4"/>
  <c r="K812" i="4"/>
  <c r="J812" i="4"/>
  <c r="I812" i="4"/>
  <c r="H812" i="4"/>
  <c r="G812" i="4"/>
  <c r="F812" i="4"/>
  <c r="E812" i="4"/>
  <c r="D812" i="4"/>
  <c r="C813" i="4"/>
  <c r="C814" i="4"/>
  <c r="O776" i="4"/>
  <c r="N776" i="4"/>
  <c r="M776" i="4"/>
  <c r="L776" i="4"/>
  <c r="K776" i="4"/>
  <c r="J776" i="4"/>
  <c r="I776" i="4"/>
  <c r="H776" i="4"/>
  <c r="G776" i="4"/>
  <c r="F776" i="4"/>
  <c r="E776" i="4"/>
  <c r="D776" i="4"/>
  <c r="C780" i="4"/>
  <c r="C778" i="4"/>
  <c r="C777" i="4"/>
  <c r="O759" i="4"/>
  <c r="N759" i="4"/>
  <c r="M759" i="4"/>
  <c r="L759" i="4"/>
  <c r="K759" i="4"/>
  <c r="J759" i="4"/>
  <c r="I759" i="4"/>
  <c r="H759" i="4"/>
  <c r="G759" i="4"/>
  <c r="F759" i="4"/>
  <c r="E759" i="4"/>
  <c r="D759" i="4"/>
  <c r="C762" i="4"/>
  <c r="C761" i="4"/>
  <c r="C760" i="4"/>
  <c r="O749" i="4"/>
  <c r="N749" i="4"/>
  <c r="M749" i="4"/>
  <c r="L749" i="4"/>
  <c r="K749" i="4"/>
  <c r="J749" i="4"/>
  <c r="H749" i="4"/>
  <c r="G749" i="4"/>
  <c r="F749" i="4"/>
  <c r="E749" i="4"/>
  <c r="D749" i="4"/>
  <c r="C750" i="4"/>
  <c r="C752" i="4"/>
  <c r="C751" i="4"/>
  <c r="O721" i="4"/>
  <c r="N721" i="4"/>
  <c r="M721" i="4"/>
  <c r="L721" i="4"/>
  <c r="K721" i="4"/>
  <c r="I721" i="4"/>
  <c r="H721" i="4"/>
  <c r="G721" i="4"/>
  <c r="F721" i="4"/>
  <c r="E721" i="4"/>
  <c r="D721" i="4"/>
  <c r="O701" i="4"/>
  <c r="N701" i="4"/>
  <c r="M701" i="4"/>
  <c r="L701" i="4"/>
  <c r="K701" i="4"/>
  <c r="I701" i="4"/>
  <c r="H701" i="4"/>
  <c r="G701" i="4"/>
  <c r="F701" i="4"/>
  <c r="E701" i="4"/>
  <c r="D701" i="4"/>
  <c r="C703" i="4"/>
  <c r="C702" i="4"/>
  <c r="O661" i="4"/>
  <c r="N661" i="4"/>
  <c r="M661" i="4"/>
  <c r="L661" i="4"/>
  <c r="K661" i="4"/>
  <c r="I661" i="4"/>
  <c r="H661" i="4"/>
  <c r="G661" i="4"/>
  <c r="F661" i="4"/>
  <c r="E661" i="4"/>
  <c r="D661" i="4"/>
  <c r="C664" i="4"/>
  <c r="C665" i="4"/>
  <c r="C663" i="4"/>
  <c r="J618" i="4"/>
  <c r="O632" i="4"/>
  <c r="O618" i="4" s="1"/>
  <c r="N632" i="4"/>
  <c r="N618" i="4" s="1"/>
  <c r="M632" i="4"/>
  <c r="M618" i="4" s="1"/>
  <c r="L632" i="4"/>
  <c r="L618" i="4" s="1"/>
  <c r="K632" i="4"/>
  <c r="K618" i="4" s="1"/>
  <c r="I632" i="4"/>
  <c r="I618" i="4" s="1"/>
  <c r="H632" i="4"/>
  <c r="H618" i="4" s="1"/>
  <c r="G632" i="4"/>
  <c r="G618" i="4" s="1"/>
  <c r="F632" i="4"/>
  <c r="F618" i="4" s="1"/>
  <c r="E632" i="4"/>
  <c r="E618" i="4" s="1"/>
  <c r="D632" i="4"/>
  <c r="O605" i="4"/>
  <c r="N605" i="4"/>
  <c r="M605" i="4"/>
  <c r="L605" i="4"/>
  <c r="K605" i="4"/>
  <c r="J605" i="4"/>
  <c r="I605" i="4"/>
  <c r="H605" i="4"/>
  <c r="G605" i="4"/>
  <c r="F605" i="4"/>
  <c r="E605" i="4"/>
  <c r="D605" i="4"/>
  <c r="C610" i="4"/>
  <c r="C609" i="4"/>
  <c r="C608" i="4"/>
  <c r="C607" i="4"/>
  <c r="C606" i="4"/>
  <c r="E938" i="4" l="1"/>
  <c r="F938" i="4"/>
  <c r="G938" i="4"/>
  <c r="H938" i="4"/>
  <c r="I938" i="4"/>
  <c r="J938" i="4"/>
  <c r="K938" i="4"/>
  <c r="L938" i="4"/>
  <c r="M938" i="4"/>
  <c r="N938" i="4"/>
  <c r="O938" i="4"/>
  <c r="D938" i="4"/>
  <c r="E880" i="4"/>
  <c r="F880" i="4"/>
  <c r="G880" i="4"/>
  <c r="H880" i="4"/>
  <c r="I880" i="4"/>
  <c r="J880" i="4"/>
  <c r="K880" i="4"/>
  <c r="L880" i="4"/>
  <c r="M880" i="4"/>
  <c r="N880" i="4"/>
  <c r="O880" i="4"/>
  <c r="D880" i="4"/>
  <c r="E863" i="4"/>
  <c r="E941" i="4" s="1"/>
  <c r="F863" i="4"/>
  <c r="F941" i="4" s="1"/>
  <c r="G863" i="4"/>
  <c r="G941" i="4" s="1"/>
  <c r="H863" i="4"/>
  <c r="H941" i="4" s="1"/>
  <c r="I863" i="4"/>
  <c r="I941" i="4" s="1"/>
  <c r="J863" i="4"/>
  <c r="J941" i="4" s="1"/>
  <c r="K863" i="4"/>
  <c r="K941" i="4" s="1"/>
  <c r="L863" i="4"/>
  <c r="L941" i="4" s="1"/>
  <c r="M863" i="4"/>
  <c r="M941" i="4" s="1"/>
  <c r="N863" i="4"/>
  <c r="N941" i="4" s="1"/>
  <c r="O863" i="4"/>
  <c r="O941" i="4" s="1"/>
  <c r="D863" i="4"/>
  <c r="D941" i="4" s="1"/>
  <c r="E853" i="4"/>
  <c r="F853" i="4"/>
  <c r="G853" i="4"/>
  <c r="H853" i="4"/>
  <c r="I853" i="4"/>
  <c r="J853" i="4"/>
  <c r="K853" i="4"/>
  <c r="L853" i="4"/>
  <c r="M853" i="4"/>
  <c r="N853" i="4"/>
  <c r="O853" i="4"/>
  <c r="D853" i="4"/>
  <c r="E820" i="4"/>
  <c r="F820" i="4"/>
  <c r="G820" i="4"/>
  <c r="H820" i="4"/>
  <c r="I820" i="4"/>
  <c r="J820" i="4"/>
  <c r="K820" i="4"/>
  <c r="L820" i="4"/>
  <c r="M820" i="4"/>
  <c r="N820" i="4"/>
  <c r="O820" i="4"/>
  <c r="D820" i="4"/>
  <c r="E788" i="4"/>
  <c r="F788" i="4"/>
  <c r="G788" i="4"/>
  <c r="H788" i="4"/>
  <c r="I788" i="4"/>
  <c r="J788" i="4"/>
  <c r="K788" i="4"/>
  <c r="L788" i="4"/>
  <c r="M788" i="4"/>
  <c r="N788" i="4"/>
  <c r="O788" i="4"/>
  <c r="D788" i="4"/>
  <c r="E775" i="4"/>
  <c r="E856" i="4" s="1"/>
  <c r="F775" i="4"/>
  <c r="F856" i="4" s="1"/>
  <c r="G775" i="4"/>
  <c r="G856" i="4" s="1"/>
  <c r="H775" i="4"/>
  <c r="H856" i="4" s="1"/>
  <c r="I775" i="4"/>
  <c r="I856" i="4" s="1"/>
  <c r="J775" i="4"/>
  <c r="J856" i="4" s="1"/>
  <c r="K775" i="4"/>
  <c r="K856" i="4" s="1"/>
  <c r="L775" i="4"/>
  <c r="M775" i="4"/>
  <c r="M856" i="4" s="1"/>
  <c r="N775" i="4"/>
  <c r="N856" i="4" s="1"/>
  <c r="O775" i="4"/>
  <c r="O856" i="4" s="1"/>
  <c r="D775" i="4"/>
  <c r="D856" i="4" s="1"/>
  <c r="E764" i="4"/>
  <c r="F764" i="4"/>
  <c r="G764" i="4"/>
  <c r="H764" i="4"/>
  <c r="I764" i="4"/>
  <c r="J764" i="4"/>
  <c r="K764" i="4"/>
  <c r="L764" i="4"/>
  <c r="M764" i="4"/>
  <c r="N764" i="4"/>
  <c r="O764" i="4"/>
  <c r="D764" i="4"/>
  <c r="E674" i="4"/>
  <c r="F674" i="4"/>
  <c r="G674" i="4"/>
  <c r="H674" i="4"/>
  <c r="I674" i="4"/>
  <c r="J674" i="4"/>
  <c r="K674" i="4"/>
  <c r="L674" i="4"/>
  <c r="M674" i="4"/>
  <c r="N674" i="4"/>
  <c r="O674" i="4"/>
  <c r="D674" i="4"/>
  <c r="E591" i="4"/>
  <c r="F591" i="4"/>
  <c r="G591" i="4"/>
  <c r="H591" i="4"/>
  <c r="I591" i="4"/>
  <c r="J591" i="4"/>
  <c r="K591" i="4"/>
  <c r="L591" i="4"/>
  <c r="M591" i="4"/>
  <c r="N591" i="4"/>
  <c r="O591" i="4"/>
  <c r="D591" i="4"/>
  <c r="I555" i="4"/>
  <c r="E481" i="4"/>
  <c r="F481" i="4"/>
  <c r="G481" i="4"/>
  <c r="H481" i="4"/>
  <c r="I481" i="4"/>
  <c r="J481" i="4"/>
  <c r="K481" i="4"/>
  <c r="L481" i="4"/>
  <c r="M481" i="4"/>
  <c r="N481" i="4"/>
  <c r="O481" i="4"/>
  <c r="D481" i="4"/>
  <c r="E385" i="4"/>
  <c r="F385" i="4"/>
  <c r="G385" i="4"/>
  <c r="H385" i="4"/>
  <c r="I385" i="4"/>
  <c r="J385" i="4"/>
  <c r="K385" i="4"/>
  <c r="L385" i="4"/>
  <c r="M385" i="4"/>
  <c r="N385" i="4"/>
  <c r="O385" i="4"/>
  <c r="D385" i="4"/>
  <c r="J314" i="4"/>
  <c r="D327" i="4"/>
  <c r="E281" i="4"/>
  <c r="F281" i="4"/>
  <c r="G281" i="4"/>
  <c r="H281" i="4"/>
  <c r="I281" i="4"/>
  <c r="J281" i="4"/>
  <c r="K281" i="4"/>
  <c r="L281" i="4"/>
  <c r="M281" i="4"/>
  <c r="N281" i="4"/>
  <c r="O281" i="4"/>
  <c r="D281" i="4"/>
  <c r="J258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I158" i="4"/>
  <c r="E97" i="4"/>
  <c r="F97" i="4"/>
  <c r="G97" i="4"/>
  <c r="H97" i="4"/>
  <c r="I97" i="4"/>
  <c r="J97" i="4"/>
  <c r="K97" i="4"/>
  <c r="L97" i="4"/>
  <c r="M97" i="4"/>
  <c r="N97" i="4"/>
  <c r="O97" i="4"/>
  <c r="D97" i="4"/>
  <c r="E66" i="4"/>
  <c r="I66" i="4"/>
  <c r="O87" i="4"/>
  <c r="O66" i="4" s="1"/>
  <c r="N87" i="4"/>
  <c r="N66" i="4" s="1"/>
  <c r="M87" i="4"/>
  <c r="M66" i="4" s="1"/>
  <c r="L87" i="4"/>
  <c r="L66" i="4" s="1"/>
  <c r="K87" i="4"/>
  <c r="K66" i="4" s="1"/>
  <c r="J87" i="4"/>
  <c r="J66" i="4" s="1"/>
  <c r="H87" i="4"/>
  <c r="H66" i="4" s="1"/>
  <c r="G87" i="4"/>
  <c r="G66" i="4" s="1"/>
  <c r="F87" i="4"/>
  <c r="F66" i="4" s="1"/>
  <c r="D87" i="4"/>
  <c r="C90" i="4"/>
  <c r="C89" i="4"/>
  <c r="C88" i="4"/>
  <c r="D66" i="4"/>
  <c r="G544" i="4"/>
  <c r="J512" i="4"/>
  <c r="O572" i="4"/>
  <c r="O555" i="4" s="1"/>
  <c r="N572" i="4"/>
  <c r="N555" i="4" s="1"/>
  <c r="M572" i="4"/>
  <c r="M555" i="4" s="1"/>
  <c r="L572" i="4"/>
  <c r="L555" i="4" s="1"/>
  <c r="K572" i="4"/>
  <c r="K555" i="4" s="1"/>
  <c r="J572" i="4"/>
  <c r="J555" i="4" s="1"/>
  <c r="H572" i="4"/>
  <c r="H555" i="4" s="1"/>
  <c r="G572" i="4"/>
  <c r="G555" i="4" s="1"/>
  <c r="F572" i="4"/>
  <c r="F555" i="4" s="1"/>
  <c r="E572" i="4"/>
  <c r="E555" i="4" s="1"/>
  <c r="D572" i="4"/>
  <c r="D555" i="4" s="1"/>
  <c r="C574" i="4"/>
  <c r="C573" i="4"/>
  <c r="C575" i="4"/>
  <c r="O544" i="4"/>
  <c r="N544" i="4"/>
  <c r="M544" i="4"/>
  <c r="L544" i="4"/>
  <c r="K544" i="4"/>
  <c r="J544" i="4"/>
  <c r="I544" i="4"/>
  <c r="H544" i="4"/>
  <c r="F544" i="4"/>
  <c r="E544" i="4"/>
  <c r="D544" i="4"/>
  <c r="C546" i="4"/>
  <c r="C548" i="4"/>
  <c r="C547" i="4"/>
  <c r="C545" i="4"/>
  <c r="O538" i="4"/>
  <c r="N538" i="4"/>
  <c r="M538" i="4"/>
  <c r="L538" i="4"/>
  <c r="K538" i="4"/>
  <c r="J538" i="4"/>
  <c r="I538" i="4"/>
  <c r="H538" i="4"/>
  <c r="G538" i="4"/>
  <c r="F538" i="4"/>
  <c r="F525" i="4" s="1"/>
  <c r="E538" i="4"/>
  <c r="E525" i="4" s="1"/>
  <c r="D538" i="4"/>
  <c r="D525" i="4" s="1"/>
  <c r="C543" i="4"/>
  <c r="C542" i="4"/>
  <c r="C540" i="4"/>
  <c r="O512" i="4"/>
  <c r="N512" i="4"/>
  <c r="M512" i="4"/>
  <c r="L512" i="4"/>
  <c r="K512" i="4"/>
  <c r="H512" i="4"/>
  <c r="G512" i="4"/>
  <c r="F512" i="4"/>
  <c r="E512" i="4"/>
  <c r="D512" i="4"/>
  <c r="O500" i="4"/>
  <c r="O499" i="4" s="1"/>
  <c r="N500" i="4"/>
  <c r="N499" i="4" s="1"/>
  <c r="M500" i="4"/>
  <c r="M499" i="4" s="1"/>
  <c r="L500" i="4"/>
  <c r="L499" i="4" s="1"/>
  <c r="K500" i="4"/>
  <c r="K499" i="4" s="1"/>
  <c r="J500" i="4"/>
  <c r="I500" i="4"/>
  <c r="I499" i="4" s="1"/>
  <c r="H500" i="4"/>
  <c r="H499" i="4" s="1"/>
  <c r="G500" i="4"/>
  <c r="G499" i="4" s="1"/>
  <c r="F500" i="4"/>
  <c r="F499" i="4" s="1"/>
  <c r="E500" i="4"/>
  <c r="E499" i="4" s="1"/>
  <c r="D500" i="4"/>
  <c r="D499" i="4" s="1"/>
  <c r="C507" i="4"/>
  <c r="O465" i="4"/>
  <c r="O446" i="4" s="1"/>
  <c r="N465" i="4"/>
  <c r="N446" i="4" s="1"/>
  <c r="M465" i="4"/>
  <c r="M446" i="4" s="1"/>
  <c r="L465" i="4"/>
  <c r="L446" i="4" s="1"/>
  <c r="K465" i="4"/>
  <c r="K446" i="4" s="1"/>
  <c r="J465" i="4"/>
  <c r="J446" i="4" s="1"/>
  <c r="I465" i="4"/>
  <c r="I446" i="4" s="1"/>
  <c r="H465" i="4"/>
  <c r="H446" i="4" s="1"/>
  <c r="G465" i="4"/>
  <c r="G446" i="4" s="1"/>
  <c r="F465" i="4"/>
  <c r="F446" i="4" s="1"/>
  <c r="E465" i="4"/>
  <c r="E446" i="4" s="1"/>
  <c r="D465" i="4"/>
  <c r="D446" i="4" s="1"/>
  <c r="C475" i="4"/>
  <c r="C474" i="4"/>
  <c r="C473" i="4"/>
  <c r="C472" i="4"/>
  <c r="C471" i="4"/>
  <c r="C470" i="4"/>
  <c r="C469" i="4"/>
  <c r="C468" i="4"/>
  <c r="C467" i="4"/>
  <c r="C466" i="4"/>
  <c r="O403" i="4"/>
  <c r="O396" i="4" s="1"/>
  <c r="N403" i="4"/>
  <c r="N396" i="4" s="1"/>
  <c r="M403" i="4"/>
  <c r="M396" i="4" s="1"/>
  <c r="L403" i="4"/>
  <c r="L396" i="4" s="1"/>
  <c r="K403" i="4"/>
  <c r="K396" i="4" s="1"/>
  <c r="J403" i="4"/>
  <c r="J396" i="4" s="1"/>
  <c r="I403" i="4"/>
  <c r="I396" i="4" s="1"/>
  <c r="H403" i="4"/>
  <c r="H396" i="4" s="1"/>
  <c r="G403" i="4"/>
  <c r="G396" i="4" s="1"/>
  <c r="F403" i="4"/>
  <c r="F396" i="4" s="1"/>
  <c r="E403" i="4"/>
  <c r="E396" i="4" s="1"/>
  <c r="D403" i="4"/>
  <c r="D396" i="4" s="1"/>
  <c r="C405" i="4"/>
  <c r="C406" i="4"/>
  <c r="C404" i="4"/>
  <c r="C408" i="4"/>
  <c r="O431" i="4"/>
  <c r="O416" i="4" s="1"/>
  <c r="N431" i="4"/>
  <c r="M431" i="4"/>
  <c r="L431" i="4"/>
  <c r="K431" i="4"/>
  <c r="J431" i="4"/>
  <c r="I431" i="4"/>
  <c r="H431" i="4"/>
  <c r="G431" i="4"/>
  <c r="F431" i="4"/>
  <c r="E431" i="4"/>
  <c r="D431" i="4"/>
  <c r="M436" i="4"/>
  <c r="N436" i="4"/>
  <c r="L436" i="4"/>
  <c r="K436" i="4"/>
  <c r="J436" i="4"/>
  <c r="I436" i="4"/>
  <c r="H436" i="4"/>
  <c r="G436" i="4"/>
  <c r="F436" i="4"/>
  <c r="E436" i="4"/>
  <c r="D436" i="4"/>
  <c r="C439" i="4"/>
  <c r="C438" i="4"/>
  <c r="C437" i="4"/>
  <c r="O371" i="4"/>
  <c r="O350" i="4" s="1"/>
  <c r="N371" i="4"/>
  <c r="N350" i="4" s="1"/>
  <c r="M371" i="4"/>
  <c r="M350" i="4" s="1"/>
  <c r="L371" i="4"/>
  <c r="L350" i="4" s="1"/>
  <c r="K371" i="4"/>
  <c r="K350" i="4" s="1"/>
  <c r="J371" i="4"/>
  <c r="J350" i="4" s="1"/>
  <c r="I371" i="4"/>
  <c r="I350" i="4" s="1"/>
  <c r="H371" i="4"/>
  <c r="H350" i="4" s="1"/>
  <c r="G371" i="4"/>
  <c r="G350" i="4" s="1"/>
  <c r="F371" i="4"/>
  <c r="F350" i="4" s="1"/>
  <c r="E371" i="4"/>
  <c r="E350" i="4" s="1"/>
  <c r="D371" i="4"/>
  <c r="D350" i="4" s="1"/>
  <c r="C379" i="4"/>
  <c r="C378" i="4"/>
  <c r="C377" i="4"/>
  <c r="C376" i="4"/>
  <c r="C375" i="4"/>
  <c r="C374" i="4"/>
  <c r="C373" i="4"/>
  <c r="C372" i="4"/>
  <c r="O336" i="4"/>
  <c r="N336" i="4"/>
  <c r="M336" i="4"/>
  <c r="L336" i="4"/>
  <c r="K336" i="4"/>
  <c r="I336" i="4"/>
  <c r="H336" i="4"/>
  <c r="G336" i="4"/>
  <c r="F336" i="4"/>
  <c r="E336" i="4"/>
  <c r="D336" i="4"/>
  <c r="C337" i="4"/>
  <c r="C342" i="4"/>
  <c r="C343" i="4"/>
  <c r="C339" i="4"/>
  <c r="C338" i="4"/>
  <c r="O327" i="4"/>
  <c r="O314" i="4" s="1"/>
  <c r="N327" i="4"/>
  <c r="N314" i="4" s="1"/>
  <c r="M327" i="4"/>
  <c r="M314" i="4" s="1"/>
  <c r="L327" i="4"/>
  <c r="L314" i="4" s="1"/>
  <c r="K327" i="4"/>
  <c r="K314" i="4" s="1"/>
  <c r="I327" i="4"/>
  <c r="I314" i="4" s="1"/>
  <c r="H327" i="4"/>
  <c r="H314" i="4" s="1"/>
  <c r="G327" i="4"/>
  <c r="G314" i="4" s="1"/>
  <c r="F327" i="4"/>
  <c r="F314" i="4" s="1"/>
  <c r="E327" i="4"/>
  <c r="E314" i="4" s="1"/>
  <c r="O301" i="4"/>
  <c r="O297" i="4" s="1"/>
  <c r="N301" i="4"/>
  <c r="N297" i="4" s="1"/>
  <c r="M301" i="4"/>
  <c r="M297" i="4" s="1"/>
  <c r="L301" i="4"/>
  <c r="L297" i="4" s="1"/>
  <c r="K301" i="4"/>
  <c r="K297" i="4" s="1"/>
  <c r="J301" i="4"/>
  <c r="J297" i="4" s="1"/>
  <c r="I301" i="4"/>
  <c r="I297" i="4" s="1"/>
  <c r="H301" i="4"/>
  <c r="H297" i="4" s="1"/>
  <c r="G301" i="4"/>
  <c r="G297" i="4" s="1"/>
  <c r="F301" i="4"/>
  <c r="F297" i="4" s="1"/>
  <c r="E301" i="4"/>
  <c r="E297" i="4" s="1"/>
  <c r="D301" i="4"/>
  <c r="D297" i="4" s="1"/>
  <c r="C304" i="4"/>
  <c r="C307" i="4"/>
  <c r="C306" i="4"/>
  <c r="C305" i="4"/>
  <c r="C303" i="4"/>
  <c r="C302" i="4"/>
  <c r="O268" i="4"/>
  <c r="O258" i="4" s="1"/>
  <c r="N268" i="4"/>
  <c r="N258" i="4" s="1"/>
  <c r="M268" i="4"/>
  <c r="M258" i="4" s="1"/>
  <c r="L268" i="4"/>
  <c r="L258" i="4" s="1"/>
  <c r="K268" i="4"/>
  <c r="K258" i="4" s="1"/>
  <c r="I268" i="4"/>
  <c r="I258" i="4" s="1"/>
  <c r="H268" i="4"/>
  <c r="H258" i="4" s="1"/>
  <c r="G268" i="4"/>
  <c r="G258" i="4" s="1"/>
  <c r="F268" i="4"/>
  <c r="F258" i="4" s="1"/>
  <c r="E268" i="4"/>
  <c r="E258" i="4" s="1"/>
  <c r="D268" i="4"/>
  <c r="D258" i="4" s="1"/>
  <c r="C275" i="4"/>
  <c r="O243" i="4"/>
  <c r="O226" i="4" s="1"/>
  <c r="N243" i="4"/>
  <c r="N226" i="4" s="1"/>
  <c r="M243" i="4"/>
  <c r="M226" i="4" s="1"/>
  <c r="L243" i="4"/>
  <c r="L226" i="4" s="1"/>
  <c r="K243" i="4"/>
  <c r="K226" i="4" s="1"/>
  <c r="J243" i="4"/>
  <c r="J226" i="4" s="1"/>
  <c r="I243" i="4"/>
  <c r="I226" i="4" s="1"/>
  <c r="H243" i="4"/>
  <c r="H226" i="4" s="1"/>
  <c r="G243" i="4"/>
  <c r="G226" i="4" s="1"/>
  <c r="F243" i="4"/>
  <c r="F226" i="4" s="1"/>
  <c r="E243" i="4"/>
  <c r="E226" i="4" s="1"/>
  <c r="D243" i="4"/>
  <c r="D226" i="4" s="1"/>
  <c r="C251" i="4"/>
  <c r="C244" i="4"/>
  <c r="O205" i="4"/>
  <c r="O201" i="4" s="1"/>
  <c r="N205" i="4"/>
  <c r="N201" i="4" s="1"/>
  <c r="M205" i="4"/>
  <c r="M201" i="4" s="1"/>
  <c r="L205" i="4"/>
  <c r="L201" i="4" s="1"/>
  <c r="K205" i="4"/>
  <c r="K201" i="4" s="1"/>
  <c r="J205" i="4"/>
  <c r="J201" i="4" s="1"/>
  <c r="I205" i="4"/>
  <c r="I201" i="4" s="1"/>
  <c r="H205" i="4"/>
  <c r="H201" i="4" s="1"/>
  <c r="G205" i="4"/>
  <c r="G201" i="4" s="1"/>
  <c r="F205" i="4"/>
  <c r="F201" i="4" s="1"/>
  <c r="E205" i="4"/>
  <c r="E201" i="4" s="1"/>
  <c r="D205" i="4"/>
  <c r="D201" i="4" s="1"/>
  <c r="C212" i="4"/>
  <c r="O182" i="4"/>
  <c r="O158" i="4" s="1"/>
  <c r="N182" i="4"/>
  <c r="N158" i="4" s="1"/>
  <c r="M182" i="4"/>
  <c r="M158" i="4" s="1"/>
  <c r="L182" i="4"/>
  <c r="L158" i="4" s="1"/>
  <c r="K182" i="4"/>
  <c r="K158" i="4" s="1"/>
  <c r="J182" i="4"/>
  <c r="J158" i="4" s="1"/>
  <c r="H182" i="4"/>
  <c r="H158" i="4" s="1"/>
  <c r="G182" i="4"/>
  <c r="G158" i="4" s="1"/>
  <c r="F182" i="4"/>
  <c r="F158" i="4" s="1"/>
  <c r="E182" i="4"/>
  <c r="E158" i="4" s="1"/>
  <c r="D182" i="4"/>
  <c r="D158" i="4" s="1"/>
  <c r="C184" i="4"/>
  <c r="O147" i="4"/>
  <c r="N147" i="4"/>
  <c r="M147" i="4"/>
  <c r="L147" i="4"/>
  <c r="K147" i="4"/>
  <c r="I147" i="4"/>
  <c r="H147" i="4"/>
  <c r="G147" i="4"/>
  <c r="F147" i="4"/>
  <c r="E147" i="4"/>
  <c r="D147" i="4"/>
  <c r="O119" i="4"/>
  <c r="N119" i="4"/>
  <c r="M119" i="4"/>
  <c r="L119" i="4"/>
  <c r="K119" i="4"/>
  <c r="J119" i="4"/>
  <c r="H119" i="4"/>
  <c r="G119" i="4"/>
  <c r="F119" i="4"/>
  <c r="E119" i="4"/>
  <c r="D119" i="4"/>
  <c r="C121" i="4"/>
  <c r="C122" i="4"/>
  <c r="O108" i="4"/>
  <c r="N108" i="4"/>
  <c r="M108" i="4"/>
  <c r="L108" i="4"/>
  <c r="K108" i="4"/>
  <c r="J108" i="4"/>
  <c r="I108" i="4"/>
  <c r="I107" i="4" s="1"/>
  <c r="H108" i="4"/>
  <c r="H107" i="4" s="1"/>
  <c r="G108" i="4"/>
  <c r="G107" i="4" s="1"/>
  <c r="F108" i="4"/>
  <c r="F107" i="4" s="1"/>
  <c r="E108" i="4"/>
  <c r="E107" i="4" s="1"/>
  <c r="D108" i="4"/>
  <c r="D107" i="4" s="1"/>
  <c r="C114" i="4"/>
  <c r="C116" i="4"/>
  <c r="C117" i="4"/>
  <c r="C110" i="4"/>
  <c r="C109" i="4"/>
  <c r="O57" i="4"/>
  <c r="N57" i="4"/>
  <c r="M57" i="4"/>
  <c r="L57" i="4"/>
  <c r="K57" i="4"/>
  <c r="J57" i="4"/>
  <c r="H57" i="4"/>
  <c r="G57" i="4"/>
  <c r="F57" i="4"/>
  <c r="E57" i="4"/>
  <c r="D57" i="4"/>
  <c r="C59" i="4"/>
  <c r="C58" i="4"/>
  <c r="O43" i="4"/>
  <c r="N43" i="4"/>
  <c r="M43" i="4"/>
  <c r="L43" i="4"/>
  <c r="K43" i="4"/>
  <c r="J43" i="4"/>
  <c r="I43" i="4"/>
  <c r="I28" i="4" s="1"/>
  <c r="H43" i="4"/>
  <c r="H28" i="4" s="1"/>
  <c r="G43" i="4"/>
  <c r="G28" i="4" s="1"/>
  <c r="F43" i="4"/>
  <c r="F28" i="4" s="1"/>
  <c r="E43" i="4"/>
  <c r="E28" i="4" s="1"/>
  <c r="D43" i="4"/>
  <c r="D28" i="4" s="1"/>
  <c r="C48" i="4"/>
  <c r="O11" i="4"/>
  <c r="N11" i="4"/>
  <c r="M11" i="4"/>
  <c r="L11" i="4"/>
  <c r="K11" i="4"/>
  <c r="J11" i="4"/>
  <c r="I11" i="4"/>
  <c r="H11" i="4"/>
  <c r="G11" i="4"/>
  <c r="F11" i="4"/>
  <c r="D11" i="4"/>
  <c r="D10" i="4" s="1"/>
  <c r="C16" i="4"/>
  <c r="C15" i="4"/>
  <c r="C14" i="4"/>
  <c r="C12" i="4"/>
  <c r="G525" i="4" l="1"/>
  <c r="G594" i="4" s="1"/>
  <c r="O290" i="4"/>
  <c r="M290" i="4"/>
  <c r="K290" i="4"/>
  <c r="L290" i="4"/>
  <c r="N290" i="4"/>
  <c r="L389" i="4"/>
  <c r="N389" i="4"/>
  <c r="L856" i="4"/>
  <c r="J290" i="4"/>
  <c r="J389" i="4"/>
  <c r="K28" i="4"/>
  <c r="M28" i="4"/>
  <c r="O28" i="4"/>
  <c r="J28" i="4"/>
  <c r="L28" i="4"/>
  <c r="N28" i="4"/>
  <c r="K107" i="4"/>
  <c r="M107" i="4"/>
  <c r="O107" i="4"/>
  <c r="D290" i="4"/>
  <c r="H290" i="4"/>
  <c r="F389" i="4"/>
  <c r="H389" i="4"/>
  <c r="D416" i="4"/>
  <c r="D492" i="4" s="1"/>
  <c r="F416" i="4"/>
  <c r="H416" i="4"/>
  <c r="H492" i="4" s="1"/>
  <c r="J416" i="4"/>
  <c r="J492" i="4" s="1"/>
  <c r="L416" i="4"/>
  <c r="L492" i="4" s="1"/>
  <c r="E594" i="4"/>
  <c r="D594" i="4"/>
  <c r="H525" i="4"/>
  <c r="H594" i="4" s="1"/>
  <c r="J525" i="4"/>
  <c r="L525" i="4"/>
  <c r="L594" i="4" s="1"/>
  <c r="N525" i="4"/>
  <c r="N594" i="4" s="1"/>
  <c r="F290" i="4"/>
  <c r="N416" i="4"/>
  <c r="N492" i="4" s="1"/>
  <c r="D100" i="4"/>
  <c r="J107" i="4"/>
  <c r="L107" i="4"/>
  <c r="N107" i="4"/>
  <c r="K389" i="4"/>
  <c r="M389" i="4"/>
  <c r="O389" i="4"/>
  <c r="F492" i="4"/>
  <c r="F594" i="4"/>
  <c r="I290" i="4"/>
  <c r="G290" i="4"/>
  <c r="E290" i="4"/>
  <c r="E389" i="4"/>
  <c r="G389" i="4"/>
  <c r="I389" i="4"/>
  <c r="E416" i="4"/>
  <c r="E492" i="4" s="1"/>
  <c r="G416" i="4"/>
  <c r="I416" i="4"/>
  <c r="I492" i="4" s="1"/>
  <c r="K416" i="4"/>
  <c r="K492" i="4" s="1"/>
  <c r="M416" i="4"/>
  <c r="M492" i="4" s="1"/>
  <c r="G492" i="4"/>
  <c r="O492" i="4"/>
  <c r="J499" i="4"/>
  <c r="I525" i="4"/>
  <c r="I594" i="4" s="1"/>
  <c r="K525" i="4"/>
  <c r="K594" i="4" s="1"/>
  <c r="M525" i="4"/>
  <c r="M594" i="4" s="1"/>
  <c r="O525" i="4"/>
  <c r="O594" i="4" s="1"/>
  <c r="D314" i="4"/>
  <c r="D389" i="4" s="1"/>
  <c r="E954" i="4"/>
  <c r="J594" i="4" l="1"/>
  <c r="N61" i="5" l="1"/>
  <c r="O61" i="5"/>
  <c r="P61" i="5" s="1"/>
  <c r="O6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2" i="5"/>
  <c r="N6" i="5"/>
  <c r="N7" i="5" l="1"/>
  <c r="O7" i="5"/>
  <c r="P59" i="5" l="1"/>
  <c r="P57" i="5"/>
  <c r="P55" i="5"/>
  <c r="P53" i="5"/>
  <c r="P51" i="5"/>
  <c r="P49" i="5"/>
  <c r="P47" i="5"/>
  <c r="P45" i="5"/>
  <c r="P43" i="5"/>
  <c r="P41" i="5"/>
  <c r="P39" i="5"/>
  <c r="P37" i="5"/>
  <c r="P35" i="5"/>
  <c r="P33" i="5"/>
  <c r="P31" i="5"/>
  <c r="P29" i="5"/>
  <c r="P27" i="5"/>
  <c r="P25" i="5"/>
  <c r="P23" i="5"/>
  <c r="P21" i="5"/>
  <c r="P19" i="5"/>
  <c r="P17" i="5"/>
  <c r="P15" i="5"/>
  <c r="P13" i="5"/>
  <c r="P11" i="5"/>
  <c r="P9" i="5"/>
  <c r="P7" i="5"/>
  <c r="P6" i="5" l="1"/>
  <c r="P8" i="5"/>
  <c r="P10" i="5"/>
  <c r="P12" i="5"/>
  <c r="P14" i="5"/>
  <c r="P16" i="5"/>
  <c r="P18" i="5"/>
  <c r="P20" i="5"/>
  <c r="P22" i="5"/>
  <c r="P24" i="5"/>
  <c r="P26" i="5"/>
  <c r="P28" i="5"/>
  <c r="P30" i="5"/>
  <c r="P32" i="5"/>
  <c r="P34" i="5"/>
  <c r="P36" i="5"/>
  <c r="P38" i="5"/>
  <c r="P40" i="5"/>
  <c r="P42" i="5"/>
  <c r="P44" i="5"/>
  <c r="P46" i="5"/>
  <c r="P48" i="5"/>
  <c r="P50" i="5"/>
  <c r="P52" i="5"/>
  <c r="P54" i="5"/>
  <c r="P56" i="5"/>
  <c r="P60" i="5"/>
  <c r="P62" i="5"/>
  <c r="E948" i="4" l="1"/>
  <c r="E955" i="4" s="1"/>
  <c r="F948" i="4"/>
  <c r="F955" i="4" s="1"/>
  <c r="G948" i="4"/>
  <c r="G955" i="4" s="1"/>
  <c r="H948" i="4"/>
  <c r="H955" i="4" s="1"/>
  <c r="I948" i="4"/>
  <c r="I955" i="4" s="1"/>
  <c r="J948" i="4"/>
  <c r="J955" i="4" s="1"/>
  <c r="K948" i="4"/>
  <c r="K955" i="4" s="1"/>
  <c r="L948" i="4"/>
  <c r="L955" i="4" s="1"/>
  <c r="M948" i="4"/>
  <c r="M955" i="4" s="1"/>
  <c r="N948" i="4"/>
  <c r="N955" i="4" s="1"/>
  <c r="O948" i="4"/>
  <c r="O955" i="4" s="1"/>
  <c r="D948" i="4"/>
  <c r="D955" i="4" s="1"/>
  <c r="E711" i="4"/>
  <c r="F711" i="4"/>
  <c r="G711" i="4"/>
  <c r="H711" i="4"/>
  <c r="I711" i="4"/>
  <c r="J711" i="4"/>
  <c r="K711" i="4"/>
  <c r="L711" i="4"/>
  <c r="M711" i="4"/>
  <c r="N711" i="4"/>
  <c r="O711" i="4"/>
  <c r="D711" i="4"/>
  <c r="E735" i="4"/>
  <c r="F735" i="4"/>
  <c r="G735" i="4"/>
  <c r="H735" i="4"/>
  <c r="I735" i="4"/>
  <c r="J735" i="4"/>
  <c r="K735" i="4"/>
  <c r="L735" i="4"/>
  <c r="M735" i="4"/>
  <c r="N735" i="4"/>
  <c r="O735" i="4"/>
  <c r="D735" i="4"/>
  <c r="E691" i="4"/>
  <c r="F691" i="4"/>
  <c r="G691" i="4"/>
  <c r="H691" i="4"/>
  <c r="I691" i="4"/>
  <c r="J691" i="4"/>
  <c r="K691" i="4"/>
  <c r="L691" i="4"/>
  <c r="M691" i="4"/>
  <c r="N691" i="4"/>
  <c r="N768" i="4" s="1"/>
  <c r="O691" i="4"/>
  <c r="D691" i="4"/>
  <c r="D618" i="4"/>
  <c r="E643" i="4"/>
  <c r="F643" i="4"/>
  <c r="G643" i="4"/>
  <c r="H643" i="4"/>
  <c r="I643" i="4"/>
  <c r="J643" i="4"/>
  <c r="K643" i="4"/>
  <c r="L643" i="4"/>
  <c r="M643" i="4"/>
  <c r="N643" i="4"/>
  <c r="O643" i="4"/>
  <c r="D643" i="4"/>
  <c r="E601" i="4"/>
  <c r="E684" i="4" s="1"/>
  <c r="F601" i="4"/>
  <c r="G601" i="4"/>
  <c r="H601" i="4"/>
  <c r="I601" i="4"/>
  <c r="J601" i="4"/>
  <c r="K601" i="4"/>
  <c r="L601" i="4"/>
  <c r="M601" i="4"/>
  <c r="N601" i="4"/>
  <c r="O601" i="4"/>
  <c r="D601" i="4"/>
  <c r="E129" i="4"/>
  <c r="E194" i="4" s="1"/>
  <c r="F129" i="4"/>
  <c r="F194" i="4" s="1"/>
  <c r="G129" i="4"/>
  <c r="H129" i="4"/>
  <c r="H194" i="4" s="1"/>
  <c r="I129" i="4"/>
  <c r="I194" i="4" s="1"/>
  <c r="J129" i="4"/>
  <c r="J194" i="4" s="1"/>
  <c r="K129" i="4"/>
  <c r="L129" i="4"/>
  <c r="M129" i="4"/>
  <c r="N129" i="4"/>
  <c r="N194" i="4" s="1"/>
  <c r="O129" i="4"/>
  <c r="D129" i="4"/>
  <c r="F768" i="4" l="1"/>
  <c r="M768" i="4"/>
  <c r="M684" i="4"/>
  <c r="L684" i="4"/>
  <c r="E768" i="4"/>
  <c r="D947" i="4"/>
  <c r="D954" i="4" s="1"/>
  <c r="J684" i="4"/>
  <c r="I684" i="4"/>
  <c r="O946" i="4"/>
  <c r="O953" i="4" s="1"/>
  <c r="K946" i="4"/>
  <c r="K953" i="4" s="1"/>
  <c r="G946" i="4"/>
  <c r="G953" i="4" s="1"/>
  <c r="O947" i="4"/>
  <c r="O954" i="4" s="1"/>
  <c r="M947" i="4"/>
  <c r="M954" i="4" s="1"/>
  <c r="K947" i="4"/>
  <c r="K954" i="4" s="1"/>
  <c r="G947" i="4"/>
  <c r="G954" i="4" s="1"/>
  <c r="N947" i="4"/>
  <c r="N954" i="4" s="1"/>
  <c r="J947" i="4"/>
  <c r="J954" i="4" s="1"/>
  <c r="F947" i="4"/>
  <c r="F954" i="4" s="1"/>
  <c r="I768" i="4"/>
  <c r="D946" i="4"/>
  <c r="D953" i="4" s="1"/>
  <c r="L768" i="4"/>
  <c r="K768" i="4"/>
  <c r="H768" i="4"/>
  <c r="K194" i="4"/>
  <c r="K684" i="4"/>
  <c r="D768" i="4"/>
  <c r="D684" i="4"/>
  <c r="H684" i="4"/>
  <c r="L947" i="4"/>
  <c r="L954" i="4" s="1"/>
  <c r="O768" i="4"/>
  <c r="G768" i="4"/>
  <c r="J946" i="4"/>
  <c r="J953" i="4" s="1"/>
  <c r="O684" i="4"/>
  <c r="G684" i="4"/>
  <c r="M946" i="4"/>
  <c r="M953" i="4" s="1"/>
  <c r="E946" i="4"/>
  <c r="E953" i="4" s="1"/>
  <c r="N684" i="4"/>
  <c r="F684" i="4"/>
  <c r="L946" i="4"/>
  <c r="L953" i="4" s="1"/>
  <c r="M194" i="4"/>
  <c r="I947" i="4"/>
  <c r="I954" i="4" s="1"/>
  <c r="L194" i="4"/>
  <c r="H947" i="4"/>
  <c r="H954" i="4" s="1"/>
  <c r="J768" i="4"/>
  <c r="I946" i="4"/>
  <c r="I953" i="4" s="1"/>
  <c r="H946" i="4"/>
  <c r="H953" i="4" s="1"/>
  <c r="D194" i="4"/>
  <c r="O194" i="4"/>
  <c r="G194" i="4"/>
  <c r="N946" i="4"/>
  <c r="N953" i="4" s="1"/>
  <c r="F946" i="4"/>
  <c r="F953" i="4" s="1"/>
  <c r="O10" i="4"/>
  <c r="N10" i="4"/>
  <c r="M10" i="4"/>
  <c r="L10" i="4"/>
  <c r="K10" i="4"/>
  <c r="J10" i="4"/>
  <c r="I10" i="4"/>
  <c r="H10" i="4"/>
  <c r="G10" i="4"/>
  <c r="F10" i="4"/>
  <c r="E10" i="4"/>
  <c r="D945" i="4"/>
  <c r="D952" i="4" s="1"/>
  <c r="E945" i="4" l="1"/>
  <c r="E952" i="4" s="1"/>
  <c r="E956" i="4" s="1"/>
  <c r="E100" i="4"/>
  <c r="G945" i="4"/>
  <c r="G952" i="4" s="1"/>
  <c r="G956" i="4" s="1"/>
  <c r="G100" i="4"/>
  <c r="I945" i="4"/>
  <c r="I952" i="4" s="1"/>
  <c r="I956" i="4" s="1"/>
  <c r="I100" i="4"/>
  <c r="K945" i="4"/>
  <c r="K952" i="4" s="1"/>
  <c r="K956" i="4" s="1"/>
  <c r="K100" i="4"/>
  <c r="M945" i="4"/>
  <c r="M952" i="4" s="1"/>
  <c r="M956" i="4" s="1"/>
  <c r="M100" i="4"/>
  <c r="O945" i="4"/>
  <c r="O952" i="4" s="1"/>
  <c r="O956" i="4" s="1"/>
  <c r="O100" i="4"/>
  <c r="F945" i="4"/>
  <c r="F952" i="4" s="1"/>
  <c r="F956" i="4" s="1"/>
  <c r="F100" i="4"/>
  <c r="H945" i="4"/>
  <c r="H952" i="4" s="1"/>
  <c r="H956" i="4" s="1"/>
  <c r="H100" i="4"/>
  <c r="J945" i="4"/>
  <c r="J952" i="4" s="1"/>
  <c r="J956" i="4" s="1"/>
  <c r="J100" i="4"/>
  <c r="L945" i="4"/>
  <c r="L952" i="4" s="1"/>
  <c r="L956" i="4" s="1"/>
  <c r="L100" i="4"/>
  <c r="N945" i="4"/>
  <c r="N952" i="4" s="1"/>
  <c r="N956" i="4" s="1"/>
  <c r="N100" i="4"/>
  <c r="D956" i="4"/>
  <c r="D949" i="4"/>
  <c r="G949" i="4" l="1"/>
  <c r="K949" i="4"/>
  <c r="L949" i="4"/>
  <c r="I949" i="4"/>
  <c r="F949" i="4"/>
  <c r="E949" i="4"/>
  <c r="N949" i="4"/>
  <c r="M949" i="4"/>
  <c r="H949" i="4"/>
  <c r="J949" i="4"/>
  <c r="O949" i="4"/>
</calcChain>
</file>

<file path=xl/sharedStrings.xml><?xml version="1.0" encoding="utf-8"?>
<sst xmlns="http://schemas.openxmlformats.org/spreadsheetml/2006/main" count="1298" uniqueCount="384">
  <si>
    <t>Mg</t>
  </si>
  <si>
    <t>Витамины, мг</t>
  </si>
  <si>
    <t>Минеральные вещества, мг</t>
  </si>
  <si>
    <t>Пищевые вещества, г</t>
  </si>
  <si>
    <t>Fe</t>
  </si>
  <si>
    <t>№ рец.</t>
  </si>
  <si>
    <t>День 1</t>
  </si>
  <si>
    <t>Каша из хлопьев овсяных "Геркулес" жидкая</t>
  </si>
  <si>
    <t>сахарный песок</t>
  </si>
  <si>
    <t>масло сливочное</t>
  </si>
  <si>
    <t>молоко</t>
  </si>
  <si>
    <t>Кофейный напиток с молоком</t>
  </si>
  <si>
    <t>Борщ из свежей капусты</t>
  </si>
  <si>
    <t>Огурец свежий</t>
  </si>
  <si>
    <t>свекла</t>
  </si>
  <si>
    <t>сметана</t>
  </si>
  <si>
    <t>морковь</t>
  </si>
  <si>
    <t>лимонная кислота</t>
  </si>
  <si>
    <t>Соус томатный с овощами</t>
  </si>
  <si>
    <t>мука пшеничная</t>
  </si>
  <si>
    <t>соль йодированная</t>
  </si>
  <si>
    <t>Каша гречневая рассыпчатая</t>
  </si>
  <si>
    <t>Компот из смеси сухофруктов</t>
  </si>
  <si>
    <t>Солянка из птицы</t>
  </si>
  <si>
    <t>Гуляш из говядины</t>
  </si>
  <si>
    <t>Макаронные изделия отварные</t>
  </si>
  <si>
    <t>Компот из апельсинов с яблоками</t>
  </si>
  <si>
    <t>яблоки</t>
  </si>
  <si>
    <t>Пряники</t>
  </si>
  <si>
    <t>Итого за день</t>
  </si>
  <si>
    <t>Рис отварной</t>
  </si>
  <si>
    <t>Чай с сахаром</t>
  </si>
  <si>
    <t>Хлеб ржаной</t>
  </si>
  <si>
    <t>Яблоко</t>
  </si>
  <si>
    <t>Щи из свежей капусты</t>
  </si>
  <si>
    <t>картофель</t>
  </si>
  <si>
    <t>Напиток из шиповника</t>
  </si>
  <si>
    <t>Курица в соусе томатном</t>
  </si>
  <si>
    <t>Каша перловая рассыпчатая</t>
  </si>
  <si>
    <t>крупа перловая</t>
  </si>
  <si>
    <t>Соус томатный</t>
  </si>
  <si>
    <t>Напиток клюквенный</t>
  </si>
  <si>
    <t>клюква</t>
  </si>
  <si>
    <t>Запеканка из творога</t>
  </si>
  <si>
    <t>творог</t>
  </si>
  <si>
    <t>Соус клюквенный</t>
  </si>
  <si>
    <t>Какао с молоком</t>
  </si>
  <si>
    <t>День 2</t>
  </si>
  <si>
    <t>Икра свекольная</t>
  </si>
  <si>
    <t>Суп картофельный с клецками</t>
  </si>
  <si>
    <t>Рагу из птицы</t>
  </si>
  <si>
    <t>Хлеб пшеничный</t>
  </si>
  <si>
    <t>Рассольник ленинградский</t>
  </si>
  <si>
    <t>Азу</t>
  </si>
  <si>
    <t>Компот из смородины черной</t>
  </si>
  <si>
    <t>Кефир</t>
  </si>
  <si>
    <t>Омлет с сыром</t>
  </si>
  <si>
    <t>Кофейный напиток на сгущенном молоке</t>
  </si>
  <si>
    <t>курага</t>
  </si>
  <si>
    <t>Говядина в кисло-сладком соусе</t>
  </si>
  <si>
    <t>Рис, припущенный с овощами</t>
  </si>
  <si>
    <t>Компот из вишен и яблок</t>
  </si>
  <si>
    <t>Суфле рыбное</t>
  </si>
  <si>
    <t>Вафли</t>
  </si>
  <si>
    <t>Сок фруктовый или ягодный</t>
  </si>
  <si>
    <t>Сок абрикосовый</t>
  </si>
  <si>
    <t>День 5</t>
  </si>
  <si>
    <t>Яйцо вареное</t>
  </si>
  <si>
    <t>Каша манная вязкая</t>
  </si>
  <si>
    <t>Чай с молоком</t>
  </si>
  <si>
    <t>Банан</t>
  </si>
  <si>
    <t>Котлеты, биточки, шницели припущенные</t>
  </si>
  <si>
    <t>Фасоль отварная</t>
  </si>
  <si>
    <t>Салат из моркови с зеленым горошком</t>
  </si>
  <si>
    <t>Кнели из говядины</t>
  </si>
  <si>
    <t>Рагу из овощей с кабачками</t>
  </si>
  <si>
    <t>Сырники из творога запеченные</t>
  </si>
  <si>
    <t>Ряженка</t>
  </si>
  <si>
    <t>Суфле из кур</t>
  </si>
  <si>
    <t>Соус молочный</t>
  </si>
  <si>
    <t>Макаронные изделия, запеченные с сыром</t>
  </si>
  <si>
    <t>Мандарин</t>
  </si>
  <si>
    <t>Картофельное пюре</t>
  </si>
  <si>
    <t>Кисель из кураги</t>
  </si>
  <si>
    <t>Овощи натуральные (помидоры)</t>
  </si>
  <si>
    <t>Свекольник</t>
  </si>
  <si>
    <t>Бифштекс рубленый паровой</t>
  </si>
  <si>
    <t>Соус красный основной</t>
  </si>
  <si>
    <t>День 7</t>
  </si>
  <si>
    <t>изюм</t>
  </si>
  <si>
    <t>Каша боярская (пшенная с изюмом)</t>
  </si>
  <si>
    <t>Салат из моркови и яблок</t>
  </si>
  <si>
    <t>Суп крестьянский с крупой</t>
  </si>
  <si>
    <t>Жаркое по-домашнему</t>
  </si>
  <si>
    <t>Салат из свежих помидоров с перцем</t>
  </si>
  <si>
    <t>Плов из отварной говядины</t>
  </si>
  <si>
    <t>Компот из яблок с лимонами</t>
  </si>
  <si>
    <t>День 8</t>
  </si>
  <si>
    <t>Соус из кураги</t>
  </si>
  <si>
    <t>Овощи натуральные (огурцы)</t>
  </si>
  <si>
    <t>Уха рыбацкая</t>
  </si>
  <si>
    <t>Суп картофельный с макаронными изделиями</t>
  </si>
  <si>
    <t>Рулет из говядины паровой</t>
  </si>
  <si>
    <t>Каша ячневая рассыпчатая</t>
  </si>
  <si>
    <t>День 9</t>
  </si>
  <si>
    <t>Каша рисовая молочная жидкая</t>
  </si>
  <si>
    <t>Салат зеленый с огурцами и помидорами</t>
  </si>
  <si>
    <t>Суп из овощей с фасолью</t>
  </si>
  <si>
    <t>Оладьи из печени по-кунцевски</t>
  </si>
  <si>
    <t>Салат из огурцов с зеленым луком</t>
  </si>
  <si>
    <t>Капуста тушеная</t>
  </si>
  <si>
    <t>Плов из отварной птицы</t>
  </si>
  <si>
    <t>Чай с лимоном</t>
  </si>
  <si>
    <t>Пюре из гороха с пассерованным луком</t>
  </si>
  <si>
    <t>Суп картофельный с рыбой</t>
  </si>
  <si>
    <t>ПРИМЕРНОЕ ОСЕННЕ- ЗИМНЕЕ МЕНЮ МБОУ СОШ №5 г. Бердска</t>
  </si>
  <si>
    <t>Школьники 11-18 лет</t>
  </si>
  <si>
    <t>Прием пищи, наименование блюда</t>
  </si>
  <si>
    <t>Масса порции, г</t>
  </si>
  <si>
    <t>Энергетическая ценность, ккал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</si>
  <si>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</si>
  <si>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</si>
  <si>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</si>
  <si>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</si>
  <si>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</si>
  <si>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</si>
  <si>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</si>
  <si>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</si>
  <si>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</si>
  <si>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250</t>
  </si>
  <si>
    <t>Сахарный песок</t>
  </si>
  <si>
    <t>Масло сливочное</t>
  </si>
  <si>
    <t>Овсяные хлопья "Геркулес"</t>
  </si>
  <si>
    <t>Соль поваренная йодированная</t>
  </si>
  <si>
    <t>Молоко</t>
  </si>
  <si>
    <t>200</t>
  </si>
  <si>
    <t>Кофейный напиток</t>
  </si>
  <si>
    <t>100</t>
  </si>
  <si>
    <t>Свекла</t>
  </si>
  <si>
    <t>Томат-пюре</t>
  </si>
  <si>
    <t>Сметана</t>
  </si>
  <si>
    <t>Лук репчатый</t>
  </si>
  <si>
    <t>Морковь</t>
  </si>
  <si>
    <t>Капуста белокочанная</t>
  </si>
  <si>
    <t>Петрушка (корень)</t>
  </si>
  <si>
    <t>Бульон куриный</t>
  </si>
  <si>
    <t>Масло растительное</t>
  </si>
  <si>
    <t>Лимонная кислота</t>
  </si>
  <si>
    <t>Кнели из кур с рисом</t>
  </si>
  <si>
    <t>Крупа рисовая</t>
  </si>
  <si>
    <t>Куриная грудка (филе)</t>
  </si>
  <si>
    <t>180</t>
  </si>
  <si>
    <t>Гречневая крупа</t>
  </si>
  <si>
    <t>Смесь сухофруктов</t>
  </si>
  <si>
    <t>Курица, 1 категории</t>
  </si>
  <si>
    <t>Огурцы соленые</t>
  </si>
  <si>
    <t>Лимон</t>
  </si>
  <si>
    <t>120</t>
  </si>
  <si>
    <t>Говядина, лопаточная часть</t>
  </si>
  <si>
    <t>Мука пшеничная</t>
  </si>
  <si>
    <t>Макаронные изделия</t>
  </si>
  <si>
    <t>Яблоки</t>
  </si>
  <si>
    <t>Апельсин</t>
  </si>
  <si>
    <t>109</t>
  </si>
  <si>
    <t>30</t>
  </si>
  <si>
    <t>Молоко "Тема"</t>
  </si>
  <si>
    <t>Рыба, запеченная в сметанном соусе</t>
  </si>
  <si>
    <t>Сыр твердый</t>
  </si>
  <si>
    <t>Соль пищевая йодированная</t>
  </si>
  <si>
    <t>Чай высшего сорта</t>
  </si>
  <si>
    <t>Икра  морковная</t>
  </si>
  <si>
    <t>Картофель</t>
  </si>
  <si>
    <t>Говядина, тазобедренная часть</t>
  </si>
  <si>
    <t>Шиповник</t>
  </si>
  <si>
    <t>Салат витаминный</t>
  </si>
  <si>
    <t>Горох шлифованный</t>
  </si>
  <si>
    <t>Крупа перловая</t>
  </si>
  <si>
    <t>Сок  фруктовый или ягодный</t>
  </si>
  <si>
    <t>сок яблочный</t>
  </si>
  <si>
    <t>Бутерброды с маслом</t>
  </si>
  <si>
    <t>40</t>
  </si>
  <si>
    <t>Крупа манная</t>
  </si>
  <si>
    <t>Сухари</t>
  </si>
  <si>
    <t>Творог</t>
  </si>
  <si>
    <t>Ванилин</t>
  </si>
  <si>
    <t>Яйцо</t>
  </si>
  <si>
    <t>Крахмал</t>
  </si>
  <si>
    <t>Клюква</t>
  </si>
  <si>
    <t>Какао-порошок</t>
  </si>
  <si>
    <t>Соль поваренная пищевая</t>
  </si>
  <si>
    <t>Крахмал картофельный</t>
  </si>
  <si>
    <t>Колбаса "Сервелат фирменный"</t>
  </si>
  <si>
    <t>Сыр "Голландский"</t>
  </si>
  <si>
    <t>Молоко сгущенное с сахаром 8,5% жирности</t>
  </si>
  <si>
    <t>Салат из моркови с яблоками и курагой</t>
  </si>
  <si>
    <t>Абрикосы сушеные (Курага)</t>
  </si>
  <si>
    <t>Сухари ржаные</t>
  </si>
  <si>
    <t>Вишня</t>
  </si>
  <si>
    <t>Помидоры (томаты)</t>
  </si>
  <si>
    <t>Суп с фрикадельками (мясными)</t>
  </si>
  <si>
    <t>Говядина (котлетное мясо)</t>
  </si>
  <si>
    <t>Петрушка</t>
  </si>
  <si>
    <t>Бутерброды с маслом и сыром</t>
  </si>
  <si>
    <t>Фасоль</t>
  </si>
  <si>
    <t>Суп с крупой</t>
  </si>
  <si>
    <t>Крупа ячневая</t>
  </si>
  <si>
    <t>Пшено</t>
  </si>
  <si>
    <t>Кабачок</t>
  </si>
  <si>
    <t>Горошек зеленый консервированный</t>
  </si>
  <si>
    <t>112</t>
  </si>
  <si>
    <t>Плоды свежие (мандарин)</t>
  </si>
  <si>
    <t>515</t>
  </si>
  <si>
    <t>Изюм</t>
  </si>
  <si>
    <t>ЯБЛОКО</t>
  </si>
  <si>
    <t>Перец сладкий</t>
  </si>
  <si>
    <t>Лук зеленый</t>
  </si>
  <si>
    <t>Сок сливовый</t>
  </si>
  <si>
    <t>Абрикосы сушеные без косточки (курага)</t>
  </si>
  <si>
    <t>Укроп</t>
  </si>
  <si>
    <t>Печень говяжья</t>
  </si>
  <si>
    <t>435</t>
  </si>
  <si>
    <t>Овощи отварные</t>
  </si>
  <si>
    <t>Смесь овощная быстрозамороженная</t>
  </si>
  <si>
    <t>День 10</t>
  </si>
  <si>
    <t>Икра кабачковая (промышленного производства)</t>
  </si>
  <si>
    <t>Икра кабачковая</t>
  </si>
  <si>
    <t>Печень говяжья по-строгановски</t>
  </si>
  <si>
    <t>110</t>
  </si>
  <si>
    <t>Сок  мультифруктовый</t>
  </si>
  <si>
    <t>Химический состав за период (всего)</t>
  </si>
  <si>
    <t>№ п/п</t>
  </si>
  <si>
    <t>Прием пищи</t>
  </si>
  <si>
    <t>Белки, г</t>
  </si>
  <si>
    <t>Жиры, г</t>
  </si>
  <si>
    <t>Углеводы, г</t>
  </si>
  <si>
    <t>В1, мг</t>
  </si>
  <si>
    <t>C, мг</t>
  </si>
  <si>
    <t>A, мг</t>
  </si>
  <si>
    <t>E, мг</t>
  </si>
  <si>
    <t>Ca, мг</t>
  </si>
  <si>
    <t>P, мг</t>
  </si>
  <si>
    <t>Mg, мг</t>
  </si>
  <si>
    <t>Fe, мг</t>
  </si>
  <si>
    <t>ЗАВТРАК</t>
  </si>
  <si>
    <t>ОБЕД№1</t>
  </si>
  <si>
    <t>ОБЕД№2</t>
  </si>
  <si>
    <t>ПОЛДНИК</t>
  </si>
  <si>
    <t>Итого</t>
  </si>
  <si>
    <t>Химический состав за период (в среднем за день)</t>
  </si>
  <si>
    <r>
      <t xml:space="preserve">   </t>
    </r>
    <r>
      <rPr>
        <b/>
        <sz val="14"/>
        <rFont val="Calibri"/>
        <family val="2"/>
        <charset val="204"/>
        <scheme val="minor"/>
      </rPr>
      <t xml:space="preserve"> День 3</t>
    </r>
  </si>
  <si>
    <r>
      <t xml:space="preserve">    </t>
    </r>
    <r>
      <rPr>
        <b/>
        <sz val="14"/>
        <rFont val="Calibri"/>
        <family val="2"/>
        <charset val="204"/>
        <scheme val="minor"/>
      </rPr>
      <t>День 4</t>
    </r>
  </si>
  <si>
    <r>
      <t xml:space="preserve">        </t>
    </r>
    <r>
      <rPr>
        <b/>
        <sz val="14"/>
        <rFont val="Calibri"/>
        <family val="2"/>
        <charset val="204"/>
        <scheme val="minor"/>
      </rPr>
      <t>День 6</t>
    </r>
  </si>
  <si>
    <t>Соль</t>
  </si>
  <si>
    <t>Дрожжи хлебопекарные</t>
  </si>
  <si>
    <t>Какао</t>
  </si>
  <si>
    <t>Чай</t>
  </si>
  <si>
    <t>Кондитерские изделия</t>
  </si>
  <si>
    <t>Сахар &lt;***&gt;</t>
  </si>
  <si>
    <t>Яйцо диетическое</t>
  </si>
  <si>
    <t>Сыр</t>
  </si>
  <si>
    <t>Кисломолочные продукты</t>
  </si>
  <si>
    <t>Колбасные изделия</t>
  </si>
  <si>
    <t>Рыба-филе</t>
  </si>
  <si>
    <t>Цыплята 1 категории</t>
  </si>
  <si>
    <t>Мясо жилованное</t>
  </si>
  <si>
    <t>Соки плодоовощные, напитки</t>
  </si>
  <si>
    <t>Фрукты (плоды) сухие, в т.ч. шиповник</t>
  </si>
  <si>
    <t>Фрукты (плоды) свежие</t>
  </si>
  <si>
    <t>Овощи свежие, зелень</t>
  </si>
  <si>
    <t>Крупы, бобовые</t>
  </si>
  <si>
    <t>Хлеб ржаной (ржано-пшеничный)</t>
  </si>
  <si>
    <t>Отклонение от нормы в % (+/-)</t>
  </si>
  <si>
    <t>В среднем за 1 день</t>
  </si>
  <si>
    <t>Фактически выдано продуктов в нетто по дням в качестве горячих завтраков (всего), г на одного человека/ количество питающихся</t>
  </si>
  <si>
    <t>Норма &lt;*&gt; продукта в граммах, г (нетто)</t>
  </si>
  <si>
    <t>Наименование группы продуктов</t>
  </si>
  <si>
    <t>N п/п</t>
  </si>
  <si>
    <t>Борщ с капустой и картофелем</t>
  </si>
  <si>
    <t>минтай</t>
  </si>
  <si>
    <t>филе куры</t>
  </si>
  <si>
    <t>Булочка с корицей</t>
  </si>
  <si>
    <t>Круассан</t>
  </si>
  <si>
    <t>Компот из вишни</t>
  </si>
  <si>
    <t>огурцы свежие</t>
  </si>
  <si>
    <t>Фрутилад</t>
  </si>
  <si>
    <t>Суп гороховый</t>
  </si>
  <si>
    <t>Пирожок с творогом</t>
  </si>
  <si>
    <t>Помидор в нарезке</t>
  </si>
  <si>
    <t>Компот из чернослива</t>
  </si>
  <si>
    <t>чернослив</t>
  </si>
  <si>
    <t>дрожжи</t>
  </si>
  <si>
    <t>корица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</si>
  <si>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</si>
  <si>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</si>
  <si>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</si>
  <si>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</si>
  <si>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</si>
  <si>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</si>
  <si>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</si>
  <si>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</si>
  <si>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</si>
  <si>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</si>
  <si>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</si>
  <si>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</si>
  <si>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</si>
  <si>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</si>
  <si>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</si>
  <si>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</si>
  <si>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Первая неделя</t>
  </si>
  <si>
    <t>Вторая неделя</t>
  </si>
  <si>
    <t>ВЕДОМОСТЬ КОНТРОЛЯ ЗА РАЦИОНОМ ПИТАНИЯ осенне-зимнее  меню школьники старшие ( 11-18 лет)</t>
  </si>
  <si>
    <t>Смородина</t>
  </si>
  <si>
    <t>Кета</t>
  </si>
  <si>
    <t>Салат из белокочанной капусты и огурцов</t>
  </si>
  <si>
    <t>соль  йодированная</t>
  </si>
  <si>
    <t>Салат из моркови</t>
  </si>
  <si>
    <t>Колбаса.</t>
  </si>
  <si>
    <t>Минтай</t>
  </si>
  <si>
    <t>Компот из сухофруктов</t>
  </si>
  <si>
    <t>сухофруты</t>
  </si>
  <si>
    <t xml:space="preserve">Соус молочный </t>
  </si>
  <si>
    <t>Компот из апельсинов и яблок</t>
  </si>
  <si>
    <t xml:space="preserve">                                              яблоки</t>
  </si>
  <si>
    <t xml:space="preserve">                                          апельсин</t>
  </si>
  <si>
    <t>За 10 дней</t>
  </si>
  <si>
    <t>Филе куры</t>
  </si>
  <si>
    <t>Компот из яблок</t>
  </si>
  <si>
    <t xml:space="preserve"> смородина</t>
  </si>
  <si>
    <t>Соль  йодированная</t>
  </si>
  <si>
    <t>11-18 лет</t>
  </si>
  <si>
    <t>Салат из свежих помидоров и яблок</t>
  </si>
  <si>
    <t>помидоры свежие</t>
  </si>
  <si>
    <t>крупа пшеничная</t>
  </si>
  <si>
    <t>Кнели рыбные</t>
  </si>
  <si>
    <t>Салат из свеклы с сыром</t>
  </si>
  <si>
    <t>сыр</t>
  </si>
  <si>
    <t xml:space="preserve">Птица отварная </t>
  </si>
  <si>
    <t xml:space="preserve">соль  йодированная </t>
  </si>
  <si>
    <t>кукуруза (консер.)</t>
  </si>
  <si>
    <t>горошек (консер.)</t>
  </si>
  <si>
    <t xml:space="preserve">Вишня </t>
  </si>
  <si>
    <t>Бутерброды с колбасой</t>
  </si>
  <si>
    <t>хлеб пшеничный.</t>
  </si>
  <si>
    <t xml:space="preserve">Апельсин  </t>
  </si>
  <si>
    <t>Бутерброд с  колбасой</t>
  </si>
  <si>
    <t xml:space="preserve">                          курица 1 категории</t>
  </si>
  <si>
    <t>Котлеты из говядины</t>
  </si>
  <si>
    <t>Бутерброды с сыром</t>
  </si>
  <si>
    <r>
      <t xml:space="preserve">                   </t>
    </r>
    <r>
      <rPr>
        <sz val="12"/>
        <rFont val="Calibri"/>
        <family val="2"/>
        <charset val="204"/>
        <scheme val="minor"/>
      </rPr>
      <t xml:space="preserve">       соль йодированная</t>
    </r>
  </si>
  <si>
    <t xml:space="preserve">ПОЛДНИК    </t>
  </si>
  <si>
    <t>Напиток брусничный</t>
  </si>
  <si>
    <t>Компот из изюма</t>
  </si>
  <si>
    <t>Компот из клубники</t>
  </si>
  <si>
    <t>ОБЕД №2     15:00 - 16:00</t>
  </si>
  <si>
    <t>ОБЕД №2   15:00 - 16:00</t>
  </si>
  <si>
    <t>ОБЕД №1    11:30 - 12:30</t>
  </si>
  <si>
    <t>ОБЕД №1   11:30 - 12:30</t>
  </si>
  <si>
    <t>Груша</t>
  </si>
  <si>
    <t>брусника</t>
  </si>
  <si>
    <t>Компот из груш</t>
  </si>
  <si>
    <t>груши</t>
  </si>
  <si>
    <t>малина с/м</t>
  </si>
  <si>
    <t>апельсины</t>
  </si>
  <si>
    <t xml:space="preserve">ПОЛДНИК   </t>
  </si>
  <si>
    <t xml:space="preserve">ПОЛДНИК     </t>
  </si>
  <si>
    <t xml:space="preserve">ЗАВТРАК     08:55 - 10:30 </t>
  </si>
  <si>
    <t>ОБЕД №1       11:30 - 12:30</t>
  </si>
  <si>
    <t>ОБЕД № 2     15:00 -16:00</t>
  </si>
  <si>
    <t>ЗАВТРАК   08:55 - 10:30</t>
  </si>
  <si>
    <t>ЗАВТРАК    08:55 - 10:30</t>
  </si>
  <si>
    <t>ОБЕД №1     11:30 - 12:30</t>
  </si>
  <si>
    <t>ОБЕД№2      15:00 - 16:00</t>
  </si>
  <si>
    <t>ОБЕД № 1     11:30 - 12:30</t>
  </si>
  <si>
    <t>ОБЕД №1  11:30 - 12:30</t>
  </si>
  <si>
    <t>клубника</t>
  </si>
  <si>
    <t>ОБЕД   № 1    11:30 - 12:30</t>
  </si>
  <si>
    <t>ОБЕД№2   15:00 - 16:00</t>
  </si>
  <si>
    <t xml:space="preserve">полдник    </t>
  </si>
  <si>
    <t>ОБЕД №2   15:00 -16:00</t>
  </si>
  <si>
    <t>ОБЕД № 1  11:30 - 12:30</t>
  </si>
  <si>
    <t>ОБЕД№1  11:30 - 12:30</t>
  </si>
  <si>
    <t>ЗАВТРАК  08:55 - 10:30</t>
  </si>
  <si>
    <t>Компот из малины</t>
  </si>
  <si>
    <t>Компот из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</si>
</sst>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1" applyFont="1" applyAlignment="1">
      <alignment vertical="center" wrapText="1"/>
    </xf>
    <xf numFmtId="1" fontId="4" fillId="0" borderId="0" xfId="1" applyNumberFormat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1" fontId="6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/>
    <xf numFmtId="0" fontId="6" fillId="0" borderId="0" xfId="1" applyFont="1"/>
    <xf numFmtId="0" fontId="8" fillId="0" borderId="11" xfId="1" applyFont="1" applyBorder="1"/>
    <xf numFmtId="0" fontId="9" fillId="0" borderId="0" xfId="1" applyFont="1"/>
    <xf numFmtId="0" fontId="8" fillId="0" borderId="0" xfId="1" applyFont="1"/>
    <xf numFmtId="1" fontId="3" fillId="0" borderId="0" xfId="1" applyNumberFormat="1" applyFont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8" fillId="0" borderId="0" xfId="1" applyFont="1" applyBorder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3" fillId="2" borderId="0" xfId="1" applyFont="1" applyFill="1"/>
    <xf numFmtId="49" fontId="9" fillId="0" borderId="0" xfId="1" applyNumberFormat="1" applyFont="1" applyAlignment="1">
      <alignment horizontal="right"/>
    </xf>
    <xf numFmtId="0" fontId="8" fillId="0" borderId="10" xfId="1" applyFont="1" applyBorder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1" fillId="0" borderId="0" xfId="1"/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23" xfId="1" applyFont="1" applyBorder="1"/>
    <xf numFmtId="0" fontId="10" fillId="0" borderId="24" xfId="1" applyFont="1" applyBorder="1"/>
    <xf numFmtId="0" fontId="10" fillId="0" borderId="25" xfId="1" applyFont="1" applyBorder="1"/>
    <xf numFmtId="0" fontId="10" fillId="0" borderId="24" xfId="1" applyFont="1" applyBorder="1" applyAlignment="1">
      <alignment wrapText="1"/>
    </xf>
    <xf numFmtId="0" fontId="10" fillId="0" borderId="24" xfId="1" applyFont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vertical="center"/>
    </xf>
    <xf numFmtId="0" fontId="10" fillId="0" borderId="16" xfId="1" applyFont="1" applyBorder="1" applyAlignment="1">
      <alignment horizontal="left" vertical="center" wrapText="1"/>
    </xf>
    <xf numFmtId="0" fontId="10" fillId="0" borderId="16" xfId="1" applyFont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11" fillId="0" borderId="5" xfId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 wrapText="1"/>
    </xf>
    <xf numFmtId="0" fontId="11" fillId="0" borderId="26" xfId="1" applyFont="1" applyBorder="1" applyAlignment="1">
      <alignment vertical="center"/>
    </xf>
    <xf numFmtId="0" fontId="11" fillId="0" borderId="16" xfId="1" applyFont="1" applyBorder="1" applyAlignment="1">
      <alignment vertical="center" wrapText="1"/>
    </xf>
    <xf numFmtId="2" fontId="10" fillId="0" borderId="2" xfId="1" applyNumberFormat="1" applyFont="1" applyBorder="1" applyAlignment="1">
      <alignment vertical="center"/>
    </xf>
    <xf numFmtId="2" fontId="10" fillId="0" borderId="3" xfId="1" applyNumberFormat="1" applyFont="1" applyBorder="1" applyAlignment="1">
      <alignment vertical="center"/>
    </xf>
    <xf numFmtId="2" fontId="10" fillId="0" borderId="3" xfId="1" applyNumberFormat="1" applyFont="1" applyFill="1" applyBorder="1" applyAlignment="1">
      <alignment vertical="center"/>
    </xf>
    <xf numFmtId="2" fontId="10" fillId="0" borderId="2" xfId="1" applyNumberFormat="1" applyFont="1" applyFill="1" applyBorder="1" applyAlignment="1">
      <alignment vertical="center"/>
    </xf>
    <xf numFmtId="2" fontId="10" fillId="0" borderId="22" xfId="1" applyNumberFormat="1" applyFont="1" applyBorder="1" applyAlignment="1">
      <alignment vertical="center"/>
    </xf>
    <xf numFmtId="0" fontId="8" fillId="0" borderId="10" xfId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2" fontId="8" fillId="0" borderId="9" xfId="1" applyNumberFormat="1" applyFont="1" applyBorder="1" applyAlignment="1">
      <alignment horizontal="center" vertical="center" wrapText="1"/>
    </xf>
    <xf numFmtId="0" fontId="9" fillId="0" borderId="10" xfId="1" applyFont="1" applyBorder="1"/>
    <xf numFmtId="2" fontId="9" fillId="0" borderId="2" xfId="1" applyNumberFormat="1" applyFont="1" applyBorder="1" applyAlignment="1">
      <alignment horizontal="center"/>
    </xf>
    <xf numFmtId="0" fontId="8" fillId="0" borderId="19" xfId="1" applyFont="1" applyBorder="1"/>
    <xf numFmtId="2" fontId="8" fillId="0" borderId="20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wrapText="1"/>
    </xf>
    <xf numFmtId="0" fontId="9" fillId="0" borderId="2" xfId="1" applyFont="1" applyBorder="1" applyAlignment="1">
      <alignment horizontal="center"/>
    </xf>
    <xf numFmtId="2" fontId="9" fillId="0" borderId="9" xfId="1" applyNumberFormat="1" applyFont="1" applyBorder="1" applyAlignment="1">
      <alignment horizontal="center"/>
    </xf>
    <xf numFmtId="0" fontId="9" fillId="0" borderId="2" xfId="1" applyFont="1" applyBorder="1" applyAlignment="1">
      <alignment horizontal="right" wrapText="1"/>
    </xf>
    <xf numFmtId="0" fontId="8" fillId="0" borderId="12" xfId="1" applyFont="1" applyBorder="1" applyAlignment="1">
      <alignment wrapText="1"/>
    </xf>
    <xf numFmtId="0" fontId="8" fillId="0" borderId="12" xfId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0" fontId="9" fillId="0" borderId="13" xfId="1" applyFont="1" applyBorder="1"/>
    <xf numFmtId="0" fontId="9" fillId="0" borderId="14" xfId="1" applyFont="1" applyBorder="1" applyAlignment="1">
      <alignment horizontal="right" wrapText="1"/>
    </xf>
    <xf numFmtId="0" fontId="9" fillId="0" borderId="15" xfId="1" applyFont="1" applyBorder="1"/>
    <xf numFmtId="0" fontId="9" fillId="0" borderId="16" xfId="1" applyFont="1" applyBorder="1" applyAlignment="1">
      <alignment horizontal="center"/>
    </xf>
    <xf numFmtId="2" fontId="9" fillId="0" borderId="16" xfId="1" applyNumberFormat="1" applyFont="1" applyBorder="1" applyAlignment="1">
      <alignment horizontal="center"/>
    </xf>
    <xf numFmtId="2" fontId="9" fillId="0" borderId="17" xfId="1" applyNumberFormat="1" applyFont="1" applyBorder="1" applyAlignment="1">
      <alignment horizontal="center"/>
    </xf>
    <xf numFmtId="0" fontId="8" fillId="0" borderId="16" xfId="1" applyFont="1" applyBorder="1" applyAlignment="1">
      <alignment wrapText="1"/>
    </xf>
    <xf numFmtId="0" fontId="9" fillId="2" borderId="10" xfId="1" applyFont="1" applyFill="1" applyBorder="1"/>
    <xf numFmtId="0" fontId="9" fillId="2" borderId="2" xfId="1" applyFont="1" applyFill="1" applyBorder="1" applyAlignment="1">
      <alignment horizontal="right" wrapText="1"/>
    </xf>
    <xf numFmtId="0" fontId="9" fillId="2" borderId="2" xfId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0" fontId="9" fillId="0" borderId="16" xfId="1" applyFont="1" applyBorder="1" applyAlignment="1">
      <alignment horizontal="right" wrapText="1"/>
    </xf>
    <xf numFmtId="2" fontId="9" fillId="2" borderId="9" xfId="1" applyNumberFormat="1" applyFont="1" applyFill="1" applyBorder="1" applyAlignment="1">
      <alignment horizontal="center"/>
    </xf>
    <xf numFmtId="0" fontId="8" fillId="2" borderId="10" xfId="1" applyFont="1" applyFill="1" applyBorder="1"/>
    <xf numFmtId="0" fontId="8" fillId="2" borderId="2" xfId="1" applyFont="1" applyFill="1" applyBorder="1" applyAlignment="1">
      <alignment wrapText="1"/>
    </xf>
    <xf numFmtId="0" fontId="9" fillId="0" borderId="10" xfId="1" applyFont="1" applyBorder="1" applyAlignment="1">
      <alignment horizontal="right"/>
    </xf>
    <xf numFmtId="2" fontId="12" fillId="0" borderId="2" xfId="1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9" fillId="0" borderId="3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2" xfId="1" applyFont="1" applyBorder="1" applyAlignment="1">
      <alignment wrapText="1"/>
    </xf>
    <xf numFmtId="1" fontId="4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1" fontId="8" fillId="0" borderId="6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2" fontId="8" fillId="0" borderId="8" xfId="1" applyNumberFormat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8" fillId="0" borderId="20" xfId="1" applyFont="1" applyBorder="1"/>
    <xf numFmtId="0" fontId="8" fillId="0" borderId="2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1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619124</xdr:colOff>
      <xdr:row>2</xdr:row>
      <xdr:rowOff>53457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82996" y="-1582996"/>
          <a:ext cx="7816332" cy="10982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Таблица3" displayName="Таблица3" ref="A5:P62" totalsRowShown="0" headerRowDxfId="19" dataDxfId="17" headerRowBorderDxfId="18" tableBorderDxfId="16" headerRowCellStyle="Обычный 2" dataCellStyle="Обычный 2">
  <autoFilter ref="A5:P62"/>
  <tableColumns count="16">
    <tableColumn id="1" name="Столбец1" dataDxfId="15" dataCellStyle="Обычный 2"/>
    <tableColumn id="2" name="Столбец2" dataDxfId="14" dataCellStyle="Обычный 2"/>
    <tableColumn id="3" name="Столбец3" dataDxfId="13" dataCellStyle="Обычный 2"/>
    <tableColumn id="4" name="Столбец4" dataDxfId="12" dataCellStyle="Обычный 2"/>
    <tableColumn id="5" name="Столбец5" dataDxfId="11" dataCellStyle="Обычный 2"/>
    <tableColumn id="6" name="Столбец6" dataDxfId="10" dataCellStyle="Обычный 2"/>
    <tableColumn id="7" name="Столбец7" dataDxfId="9" dataCellStyle="Обычный 2"/>
    <tableColumn id="8" name="Столбец8" dataDxfId="8" dataCellStyle="Обычный 2"/>
    <tableColumn id="9" name="Столбец9" dataDxfId="7" dataCellStyle="Обычный 2"/>
    <tableColumn id="10" name="Столбец10" dataDxfId="6" dataCellStyle="Обычный 2"/>
    <tableColumn id="11" name="Столбец11" dataDxfId="5" dataCellStyle="Обычный 2"/>
    <tableColumn id="12" name="Столбец12" dataDxfId="4" dataCellStyle="Обычный 2"/>
    <tableColumn id="13" name="Столбец13" dataDxfId="3" dataCellStyle="Обычный 2"/>
    <tableColumn id="14" name="Столбец14" dataDxfId="2" dataCellStyle="Обычный 2">
      <calculatedColumnFormula>SUM(Таблица3[[#This Row],[Столбец4]:[Столбец13]])</calculatedColumnFormula>
    </tableColumn>
    <tableColumn id="15" name="Столбец15" dataDxfId="1" dataCellStyle="Обычный 2">
      <calculatedColumnFormula>IFERROR(AVERAGE(Таблица3[[#This Row],[Столбец4]:[Столбец13]]),0)</calculatedColumnFormula>
    </tableColumn>
    <tableColumn id="16" name="Столбец16" dataDxfId="0" dataCellStyle="Обычный 2">
      <calculatedColumnFormula>O6-C6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6"/>
  <sheetViews>
    <sheetView tabSelected="1" topLeftCell="A2" zoomScaleNormal="100" workbookViewId="0">
      <selection activeCell="C8" sqref="C8:C9"/>
    </sheetView>
  </sheetViews>
  <sheetFormatPr defaultRowHeight="15" x14ac:dyDescent="0.25"/>
  <cols>
    <col min="1" max="1" width="5.5703125" style="6" customWidth="1"/>
    <col min="2" max="2" width="31.5703125" style="29" customWidth="1"/>
    <col min="3" max="3" width="9.28515625" style="30" bestFit="1" customWidth="1"/>
    <col min="4" max="6" width="9.85546875" style="31" bestFit="1" customWidth="1"/>
    <col min="7" max="7" width="11" style="31" bestFit="1" customWidth="1"/>
    <col min="8" max="9" width="9.28515625" style="31" bestFit="1" customWidth="1"/>
    <col min="10" max="10" width="9.85546875" style="31" bestFit="1" customWidth="1"/>
    <col min="11" max="11" width="9.28515625" style="31" bestFit="1" customWidth="1"/>
    <col min="12" max="12" width="9.85546875" style="31" bestFit="1" customWidth="1"/>
    <col min="13" max="13" width="11" style="31" bestFit="1" customWidth="1"/>
    <col min="14" max="14" width="9.85546875" style="31" bestFit="1" customWidth="1"/>
    <col min="15" max="15" width="9.28515625" style="31" bestFit="1" customWidth="1"/>
    <col min="16" max="16384" width="9.140625" style="6"/>
  </cols>
  <sheetData>
    <row r="1" spans="1:16" ht="392.25" customHeight="1" x14ac:dyDescent="0.25"/>
    <row r="2" spans="1:16" ht="219" customHeight="1" x14ac:dyDescent="0.25"/>
    <row r="3" spans="1:16" s="1" customFormat="1" ht="12.75" x14ac:dyDescent="0.25">
      <c r="A3" s="107" t="s">
        <v>115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 s="1" customFormat="1" ht="48.75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6" ht="18.75" x14ac:dyDescent="0.2">
      <c r="A5" s="2"/>
      <c r="B5" s="3" t="s">
        <v>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x14ac:dyDescent="0.2">
      <c r="A6" s="101"/>
      <c r="B6" s="102" t="s">
        <v>116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5.75" thickBot="1" x14ac:dyDescent="0.25">
      <c r="A7" s="101"/>
      <c r="B7" s="102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s="8" customFormat="1" ht="16.5" thickBot="1" x14ac:dyDescent="0.3">
      <c r="A8" s="103" t="s">
        <v>5</v>
      </c>
      <c r="B8" s="104" t="s">
        <v>117</v>
      </c>
      <c r="C8" s="105" t="s">
        <v>118</v>
      </c>
      <c r="D8" s="106" t="s">
        <v>3</v>
      </c>
      <c r="E8" s="106"/>
      <c r="F8" s="106"/>
      <c r="G8" s="106" t="s">
        <v>119</v>
      </c>
      <c r="H8" s="106" t="s">
        <v>1</v>
      </c>
      <c r="I8" s="106"/>
      <c r="J8" s="106"/>
      <c r="K8" s="106"/>
      <c r="L8" s="108" t="s">
        <v>2</v>
      </c>
      <c r="M8" s="108"/>
      <c r="N8" s="108"/>
      <c r="O8" s="108"/>
      <c r="P8" s="7"/>
    </row>
    <row r="9" spans="1:16" s="9" customFormat="1" ht="31.5" x14ac:dyDescent="0.25">
      <c r="A9" s="103"/>
      <c r="B9" s="104"/>
      <c r="C9" s="105"/>
      <c r="D9" s="63" t="s">
        <v>120</v>
      </c>
      <c r="E9" s="63" t="s">
        <v>121</v>
      </c>
      <c r="F9" s="63" t="s">
        <v>122</v>
      </c>
      <c r="G9" s="106"/>
      <c r="H9" s="63" t="s">
        <v>123</v>
      </c>
      <c r="I9" s="63" t="s">
        <v>124</v>
      </c>
      <c r="J9" s="63" t="s">
        <v>125</v>
      </c>
      <c r="K9" s="63" t="s">
        <v>126</v>
      </c>
      <c r="L9" s="63" t="s">
        <v>127</v>
      </c>
      <c r="M9" s="63" t="s">
        <v>128</v>
      </c>
      <c r="N9" s="63" t="s">
        <v>0</v>
      </c>
      <c r="O9" s="64" t="s">
        <v>4</v>
      </c>
      <c r="P9" s="1"/>
    </row>
    <row r="10" spans="1:16" s="10" customFormat="1" ht="15.75" x14ac:dyDescent="0.25">
      <c r="A10" s="26"/>
      <c r="B10" s="70" t="s">
        <v>365</v>
      </c>
      <c r="C10" s="71"/>
      <c r="D10" s="72">
        <f>D11+D17+D21+D25+D26</f>
        <v>25.275000000000002</v>
      </c>
      <c r="E10" s="72">
        <f>E11+E17+E21+E25+E26</f>
        <v>22.95</v>
      </c>
      <c r="F10" s="72">
        <f t="shared" ref="F10:O10" si="0">F11+F17+F21+F25+F26</f>
        <v>99.149999999999991</v>
      </c>
      <c r="G10" s="72">
        <f t="shared" si="0"/>
        <v>684.5</v>
      </c>
      <c r="H10" s="72">
        <f t="shared" si="0"/>
        <v>0.39500000000000002</v>
      </c>
      <c r="I10" s="72">
        <f t="shared" si="0"/>
        <v>3.3250000000000002</v>
      </c>
      <c r="J10" s="72">
        <f t="shared" si="0"/>
        <v>115.57</v>
      </c>
      <c r="K10" s="72">
        <f t="shared" si="0"/>
        <v>2.125</v>
      </c>
      <c r="L10" s="72">
        <f t="shared" si="0"/>
        <v>557.70000000000005</v>
      </c>
      <c r="M10" s="72">
        <f t="shared" si="0"/>
        <v>572.42499999999995</v>
      </c>
      <c r="N10" s="72">
        <f t="shared" si="0"/>
        <v>119.02500000000001</v>
      </c>
      <c r="O10" s="72">
        <f t="shared" si="0"/>
        <v>4.2949999999999999</v>
      </c>
      <c r="P10" s="6"/>
    </row>
    <row r="11" spans="1:16" s="11" customFormat="1" ht="31.5" x14ac:dyDescent="0.25">
      <c r="A11" s="65">
        <v>232</v>
      </c>
      <c r="B11" s="73" t="s">
        <v>7</v>
      </c>
      <c r="C11" s="74" t="s">
        <v>129</v>
      </c>
      <c r="D11" s="66">
        <f>32.3/1000*250</f>
        <v>8.0749999999999993</v>
      </c>
      <c r="E11" s="66">
        <v>10.15</v>
      </c>
      <c r="F11" s="66">
        <f>128.2/1000*250</f>
        <v>32.049999999999997</v>
      </c>
      <c r="G11" s="66">
        <f>1.008*250</f>
        <v>252</v>
      </c>
      <c r="H11" s="66">
        <f>0.72/1000*250</f>
        <v>0.18</v>
      </c>
      <c r="I11" s="66">
        <f>7.7/1000*250</f>
        <v>1.925</v>
      </c>
      <c r="J11" s="66">
        <f>0.213*250</f>
        <v>53.25</v>
      </c>
      <c r="K11" s="66">
        <f>2.3/1000*250</f>
        <v>0.57499999999999996</v>
      </c>
      <c r="L11" s="66">
        <f>789.6/1000*250</f>
        <v>197.4</v>
      </c>
      <c r="M11" s="66">
        <f>941.7/1000*250</f>
        <v>235.42500000000001</v>
      </c>
      <c r="N11" s="66">
        <f>242.5/1000*250</f>
        <v>60.625</v>
      </c>
      <c r="O11" s="75">
        <f>5.3/1000*250</f>
        <v>1.325</v>
      </c>
    </row>
    <row r="12" spans="1:16" ht="15.75" x14ac:dyDescent="0.25">
      <c r="A12" s="65"/>
      <c r="B12" s="76" t="s">
        <v>130</v>
      </c>
      <c r="C12" s="74">
        <f>25/1000*250</f>
        <v>6.25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75">
        <v>1.9E-2</v>
      </c>
    </row>
    <row r="13" spans="1:16" ht="15.75" x14ac:dyDescent="0.25">
      <c r="A13" s="65"/>
      <c r="B13" s="76" t="s">
        <v>131</v>
      </c>
      <c r="C13" s="74">
        <v>6.25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75"/>
    </row>
    <row r="14" spans="1:16" ht="15.75" x14ac:dyDescent="0.25">
      <c r="A14" s="65"/>
      <c r="B14" s="76" t="s">
        <v>132</v>
      </c>
      <c r="C14" s="74">
        <f>125/1000*250</f>
        <v>31.25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75"/>
    </row>
    <row r="15" spans="1:16" ht="31.5" x14ac:dyDescent="0.25">
      <c r="A15" s="65"/>
      <c r="B15" s="76" t="s">
        <v>133</v>
      </c>
      <c r="C15" s="74">
        <f>5/1000*250</f>
        <v>1.25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75"/>
    </row>
    <row r="16" spans="1:16" ht="15.75" x14ac:dyDescent="0.25">
      <c r="A16" s="65"/>
      <c r="B16" s="76" t="s">
        <v>134</v>
      </c>
      <c r="C16" s="74">
        <f>590/1000*250</f>
        <v>147.5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5"/>
    </row>
    <row r="17" spans="1:16" s="11" customFormat="1" ht="15.75" x14ac:dyDescent="0.25">
      <c r="A17" s="65">
        <v>63</v>
      </c>
      <c r="B17" s="73" t="s">
        <v>347</v>
      </c>
      <c r="C17" s="74">
        <v>45</v>
      </c>
      <c r="D17" s="66">
        <v>6.9</v>
      </c>
      <c r="E17" s="66">
        <v>9.1</v>
      </c>
      <c r="F17" s="66">
        <v>9.9</v>
      </c>
      <c r="G17" s="66">
        <v>149</v>
      </c>
      <c r="H17" s="66">
        <v>0.03</v>
      </c>
      <c r="I17" s="66">
        <v>0.1</v>
      </c>
      <c r="J17" s="66">
        <v>62.3</v>
      </c>
      <c r="K17" s="66">
        <v>0.3</v>
      </c>
      <c r="L17" s="66">
        <v>206.8</v>
      </c>
      <c r="M17" s="66">
        <v>135.5</v>
      </c>
      <c r="N17" s="66">
        <v>13.9</v>
      </c>
      <c r="O17" s="75">
        <v>0.37</v>
      </c>
    </row>
    <row r="18" spans="1:16" ht="15.75" x14ac:dyDescent="0.25">
      <c r="A18" s="65"/>
      <c r="B18" s="76" t="s">
        <v>335</v>
      </c>
      <c r="C18" s="74">
        <v>20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75"/>
    </row>
    <row r="19" spans="1:16" ht="15.75" x14ac:dyDescent="0.25">
      <c r="A19" s="65"/>
      <c r="B19" s="76" t="s">
        <v>131</v>
      </c>
      <c r="C19" s="74">
        <v>5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5"/>
    </row>
    <row r="20" spans="1:16" ht="15.75" x14ac:dyDescent="0.25">
      <c r="A20" s="65"/>
      <c r="B20" s="76" t="s">
        <v>51</v>
      </c>
      <c r="C20" s="74">
        <v>20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5"/>
    </row>
    <row r="21" spans="1:16" s="11" customFormat="1" ht="31.5" x14ac:dyDescent="0.25">
      <c r="A21" s="65">
        <v>465</v>
      </c>
      <c r="B21" s="73" t="s">
        <v>11</v>
      </c>
      <c r="C21" s="74" t="s">
        <v>135</v>
      </c>
      <c r="D21" s="66">
        <v>3.2</v>
      </c>
      <c r="E21" s="66">
        <v>2.7</v>
      </c>
      <c r="F21" s="66">
        <v>15.9</v>
      </c>
      <c r="G21" s="66">
        <v>79</v>
      </c>
      <c r="H21" s="66">
        <v>0.04</v>
      </c>
      <c r="I21" s="66">
        <v>1.3</v>
      </c>
      <c r="J21" s="66">
        <v>0.02</v>
      </c>
      <c r="K21" s="66">
        <v>0</v>
      </c>
      <c r="L21" s="66">
        <v>126</v>
      </c>
      <c r="M21" s="66">
        <v>90</v>
      </c>
      <c r="N21" s="66">
        <v>14</v>
      </c>
      <c r="O21" s="75">
        <v>0.1</v>
      </c>
    </row>
    <row r="22" spans="1:16" ht="15.75" x14ac:dyDescent="0.25">
      <c r="A22" s="65"/>
      <c r="B22" s="76" t="s">
        <v>130</v>
      </c>
      <c r="C22" s="74">
        <v>10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5"/>
    </row>
    <row r="23" spans="1:16" ht="15.75" x14ac:dyDescent="0.25">
      <c r="A23" s="65"/>
      <c r="B23" s="76" t="s">
        <v>136</v>
      </c>
      <c r="C23" s="74">
        <v>2.4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75"/>
    </row>
    <row r="24" spans="1:16" ht="15.75" x14ac:dyDescent="0.25">
      <c r="A24" s="65"/>
      <c r="B24" s="76" t="s">
        <v>134</v>
      </c>
      <c r="C24" s="74">
        <v>100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75"/>
    </row>
    <row r="25" spans="1:16" s="11" customFormat="1" ht="15.75" x14ac:dyDescent="0.25">
      <c r="A25" s="65"/>
      <c r="B25" s="73" t="s">
        <v>51</v>
      </c>
      <c r="C25" s="74">
        <v>40</v>
      </c>
      <c r="D25" s="66">
        <v>3.8</v>
      </c>
      <c r="E25" s="66">
        <v>0.4</v>
      </c>
      <c r="F25" s="66">
        <v>24.6</v>
      </c>
      <c r="G25" s="66">
        <v>117.5</v>
      </c>
      <c r="H25" s="66">
        <v>5.5E-2</v>
      </c>
      <c r="I25" s="66">
        <v>0</v>
      </c>
      <c r="J25" s="66">
        <v>0</v>
      </c>
      <c r="K25" s="66">
        <v>0.55000000000000004</v>
      </c>
      <c r="L25" s="66">
        <v>10</v>
      </c>
      <c r="M25" s="66">
        <v>32.5</v>
      </c>
      <c r="N25" s="66">
        <v>7</v>
      </c>
      <c r="O25" s="75">
        <v>0.55000000000000004</v>
      </c>
    </row>
    <row r="26" spans="1:16" s="11" customFormat="1" ht="15.75" x14ac:dyDescent="0.25">
      <c r="A26" s="65"/>
      <c r="B26" s="73" t="s">
        <v>32</v>
      </c>
      <c r="C26" s="74">
        <v>40</v>
      </c>
      <c r="D26" s="66">
        <v>3.3</v>
      </c>
      <c r="E26" s="66">
        <v>0.6</v>
      </c>
      <c r="F26" s="66">
        <v>16.7</v>
      </c>
      <c r="G26" s="66">
        <v>87</v>
      </c>
      <c r="H26" s="66">
        <v>0.09</v>
      </c>
      <c r="I26" s="66">
        <v>0</v>
      </c>
      <c r="J26" s="66">
        <v>0</v>
      </c>
      <c r="K26" s="66">
        <v>0.7</v>
      </c>
      <c r="L26" s="66">
        <v>17.5</v>
      </c>
      <c r="M26" s="66">
        <v>79</v>
      </c>
      <c r="N26" s="66">
        <v>23.5</v>
      </c>
      <c r="O26" s="75">
        <v>1.95</v>
      </c>
    </row>
    <row r="27" spans="1:16" s="11" customFormat="1" ht="15.75" x14ac:dyDescent="0.25">
      <c r="A27" s="65"/>
      <c r="B27" s="73" t="s">
        <v>70</v>
      </c>
      <c r="C27" s="74">
        <v>150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98"/>
    </row>
    <row r="28" spans="1:16" s="10" customFormat="1" ht="15.75" x14ac:dyDescent="0.25">
      <c r="A28" s="26"/>
      <c r="B28" s="70" t="s">
        <v>366</v>
      </c>
      <c r="C28" s="71"/>
      <c r="D28" s="72">
        <f>D29+D31+D43+D49+D57+D60+D64+D65</f>
        <v>36.207142857142856</v>
      </c>
      <c r="E28" s="72">
        <f>E29+E31+E43+E49+E57+E60+E64+E65</f>
        <v>36.207714285714289</v>
      </c>
      <c r="F28" s="72">
        <f t="shared" ref="F28:O28" si="1">F29+F31+F43+F49+F57+F60+F64+F65</f>
        <v>100.66428571428571</v>
      </c>
      <c r="G28" s="72">
        <f t="shared" si="1"/>
        <v>945.23285714285703</v>
      </c>
      <c r="H28" s="72">
        <f t="shared" si="1"/>
        <v>0.44522857142857136</v>
      </c>
      <c r="I28" s="72">
        <f t="shared" si="1"/>
        <v>31.907142857142858</v>
      </c>
      <c r="J28" s="72">
        <f t="shared" si="1"/>
        <v>126.52857142857142</v>
      </c>
      <c r="K28" s="72">
        <f t="shared" si="1"/>
        <v>2.6154285714285708</v>
      </c>
      <c r="L28" s="72">
        <f t="shared" si="1"/>
        <v>172.88942857142857</v>
      </c>
      <c r="M28" s="72">
        <f t="shared" si="1"/>
        <v>485.76971428571426</v>
      </c>
      <c r="N28" s="72">
        <f t="shared" si="1"/>
        <v>198.73914285714284</v>
      </c>
      <c r="O28" s="72">
        <f t="shared" si="1"/>
        <v>10.612628571428571</v>
      </c>
      <c r="P28" s="6"/>
    </row>
    <row r="29" spans="1:16" s="11" customFormat="1" ht="31.5" x14ac:dyDescent="0.25">
      <c r="A29" s="65">
        <v>148</v>
      </c>
      <c r="B29" s="73" t="s">
        <v>99</v>
      </c>
      <c r="C29" s="74" t="s">
        <v>137</v>
      </c>
      <c r="D29" s="66">
        <v>0.8</v>
      </c>
      <c r="E29" s="66">
        <v>0.1</v>
      </c>
      <c r="F29" s="66">
        <v>2.5</v>
      </c>
      <c r="G29" s="66">
        <v>14</v>
      </c>
      <c r="H29" s="66">
        <v>0.03</v>
      </c>
      <c r="I29" s="66">
        <v>10</v>
      </c>
      <c r="J29" s="66">
        <v>0</v>
      </c>
      <c r="K29" s="66">
        <v>0.1</v>
      </c>
      <c r="L29" s="66">
        <v>23</v>
      </c>
      <c r="M29" s="66">
        <v>42</v>
      </c>
      <c r="N29" s="66">
        <v>14</v>
      </c>
      <c r="O29" s="75">
        <v>0.6</v>
      </c>
    </row>
    <row r="30" spans="1:16" ht="15.75" x14ac:dyDescent="0.25">
      <c r="A30" s="65"/>
      <c r="B30" s="76" t="s">
        <v>13</v>
      </c>
      <c r="C30" s="74">
        <v>100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75"/>
    </row>
    <row r="31" spans="1:16" s="11" customFormat="1" ht="31.5" x14ac:dyDescent="0.25">
      <c r="A31" s="65">
        <v>95</v>
      </c>
      <c r="B31" s="73" t="s">
        <v>277</v>
      </c>
      <c r="C31" s="74">
        <v>250</v>
      </c>
      <c r="D31" s="66">
        <v>3.77</v>
      </c>
      <c r="E31" s="66">
        <v>6.35</v>
      </c>
      <c r="F31" s="66">
        <v>9.67</v>
      </c>
      <c r="G31" s="66">
        <v>109.72</v>
      </c>
      <c r="H31" s="66">
        <v>0.03</v>
      </c>
      <c r="I31" s="66">
        <v>19.93</v>
      </c>
      <c r="J31" s="66">
        <v>0</v>
      </c>
      <c r="K31" s="66">
        <v>0.1</v>
      </c>
      <c r="L31" s="66">
        <v>47.75</v>
      </c>
      <c r="M31" s="66">
        <v>34.130000000000003</v>
      </c>
      <c r="N31" s="66">
        <v>15.55</v>
      </c>
      <c r="O31" s="75">
        <v>0.93</v>
      </c>
    </row>
    <row r="32" spans="1:16" ht="15.75" x14ac:dyDescent="0.25">
      <c r="A32" s="65"/>
      <c r="B32" s="76" t="s">
        <v>138</v>
      </c>
      <c r="C32" s="74">
        <v>50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75"/>
    </row>
    <row r="33" spans="1:15" ht="15.75" x14ac:dyDescent="0.25">
      <c r="A33" s="65"/>
      <c r="B33" s="76" t="s">
        <v>139</v>
      </c>
      <c r="C33" s="74">
        <v>7.5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75"/>
    </row>
    <row r="34" spans="1:15" ht="15.75" x14ac:dyDescent="0.25">
      <c r="A34" s="65"/>
      <c r="B34" s="76" t="s">
        <v>130</v>
      </c>
      <c r="C34" s="74">
        <v>2.5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75"/>
    </row>
    <row r="35" spans="1:15" ht="15.75" x14ac:dyDescent="0.25">
      <c r="A35" s="65"/>
      <c r="B35" s="76" t="s">
        <v>140</v>
      </c>
      <c r="C35" s="74">
        <v>12.5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75"/>
    </row>
    <row r="36" spans="1:15" ht="15.75" x14ac:dyDescent="0.25">
      <c r="A36" s="65"/>
      <c r="B36" s="76" t="s">
        <v>141</v>
      </c>
      <c r="C36" s="74">
        <v>12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75"/>
    </row>
    <row r="37" spans="1:15" ht="15.75" x14ac:dyDescent="0.25">
      <c r="A37" s="65"/>
      <c r="B37" s="76" t="s">
        <v>142</v>
      </c>
      <c r="C37" s="74">
        <v>15.7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75"/>
    </row>
    <row r="38" spans="1:15" ht="15.75" x14ac:dyDescent="0.25">
      <c r="A38" s="65"/>
      <c r="B38" s="76" t="s">
        <v>143</v>
      </c>
      <c r="C38" s="74">
        <v>25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75"/>
    </row>
    <row r="39" spans="1:15" ht="15.75" x14ac:dyDescent="0.25">
      <c r="A39" s="65"/>
      <c r="B39" s="76" t="s">
        <v>35</v>
      </c>
      <c r="C39" s="74">
        <v>26.7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75"/>
    </row>
    <row r="40" spans="1:15" ht="15.75" x14ac:dyDescent="0.25">
      <c r="A40" s="65"/>
      <c r="B40" s="76" t="s">
        <v>146</v>
      </c>
      <c r="C40" s="74">
        <v>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75"/>
    </row>
    <row r="41" spans="1:15" ht="15.75" x14ac:dyDescent="0.25">
      <c r="A41" s="65"/>
      <c r="B41" s="76" t="s">
        <v>147</v>
      </c>
      <c r="C41" s="74">
        <v>3.75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75"/>
    </row>
    <row r="42" spans="1:15" ht="31.5" x14ac:dyDescent="0.25">
      <c r="A42" s="65"/>
      <c r="B42" s="76" t="s">
        <v>133</v>
      </c>
      <c r="C42" s="74">
        <v>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5"/>
    </row>
    <row r="43" spans="1:15" s="11" customFormat="1" ht="15.75" x14ac:dyDescent="0.25">
      <c r="A43" s="65">
        <v>371</v>
      </c>
      <c r="B43" s="73" t="s">
        <v>148</v>
      </c>
      <c r="C43" s="74" t="s">
        <v>137</v>
      </c>
      <c r="D43" s="66">
        <f>11.8/70*100</f>
        <v>16.857142857142861</v>
      </c>
      <c r="E43" s="66">
        <f>13.5/70*100</f>
        <v>19.285714285714288</v>
      </c>
      <c r="F43" s="66">
        <f>4.7/70*100</f>
        <v>6.7142857142857144</v>
      </c>
      <c r="G43" s="66">
        <f>2.67142857142857*100</f>
        <v>267.142857142857</v>
      </c>
      <c r="H43" s="66">
        <f>0.05/70*100</f>
        <v>7.1428571428571425E-2</v>
      </c>
      <c r="I43" s="66">
        <f>0.6/70*100</f>
        <v>0.85714285714285721</v>
      </c>
      <c r="J43" s="66">
        <f>59.1/70*100</f>
        <v>84.428571428571431</v>
      </c>
      <c r="K43" s="66">
        <f>0.4/70*100</f>
        <v>0.5714285714285714</v>
      </c>
      <c r="L43" s="66">
        <f>17.9/70*100</f>
        <v>25.571428571428566</v>
      </c>
      <c r="M43" s="66">
        <f>77.2/70*100</f>
        <v>110.28571428571429</v>
      </c>
      <c r="N43" s="66">
        <f>15.3/70*100</f>
        <v>21.857142857142858</v>
      </c>
      <c r="O43" s="75">
        <f>1.03/70*100</f>
        <v>1.4714285714285715</v>
      </c>
    </row>
    <row r="44" spans="1:15" ht="15.75" x14ac:dyDescent="0.25">
      <c r="A44" s="65"/>
      <c r="B44" s="76" t="s">
        <v>149</v>
      </c>
      <c r="C44" s="74">
        <v>9.14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5"/>
    </row>
    <row r="45" spans="1:15" ht="15.75" x14ac:dyDescent="0.25">
      <c r="A45" s="65"/>
      <c r="B45" s="76" t="s">
        <v>337</v>
      </c>
      <c r="C45" s="74">
        <v>0.42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5"/>
    </row>
    <row r="46" spans="1:15" ht="15.75" x14ac:dyDescent="0.25">
      <c r="A46" s="65"/>
      <c r="B46" s="76" t="s">
        <v>10</v>
      </c>
      <c r="C46" s="74">
        <v>10.75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75"/>
    </row>
    <row r="47" spans="1:15" ht="15.75" x14ac:dyDescent="0.25">
      <c r="A47" s="65"/>
      <c r="B47" s="76" t="s">
        <v>150</v>
      </c>
      <c r="C47" s="74">
        <v>94.28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75"/>
    </row>
    <row r="48" spans="1:15" ht="15.75" x14ac:dyDescent="0.25">
      <c r="A48" s="65"/>
      <c r="B48" s="76" t="s">
        <v>131</v>
      </c>
      <c r="C48" s="74">
        <f>2.8/70*100</f>
        <v>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75"/>
    </row>
    <row r="49" spans="1:15" s="11" customFormat="1" ht="15.75" x14ac:dyDescent="0.25">
      <c r="A49" s="65">
        <v>420</v>
      </c>
      <c r="B49" s="73" t="s">
        <v>18</v>
      </c>
      <c r="C49" s="74">
        <v>35</v>
      </c>
      <c r="D49" s="66">
        <v>0.43</v>
      </c>
      <c r="E49" s="66">
        <v>2.56</v>
      </c>
      <c r="F49" s="66">
        <v>1.69</v>
      </c>
      <c r="G49" s="66">
        <v>31.61</v>
      </c>
      <c r="H49" s="66">
        <v>5.0000000000000001E-3</v>
      </c>
      <c r="I49" s="66">
        <v>0.62</v>
      </c>
      <c r="J49" s="66">
        <v>13.3</v>
      </c>
      <c r="K49" s="66">
        <v>0.09</v>
      </c>
      <c r="L49" s="66">
        <v>4.13</v>
      </c>
      <c r="M49" s="66">
        <v>7.7</v>
      </c>
      <c r="N49" s="66">
        <v>3.38</v>
      </c>
      <c r="O49" s="75">
        <v>4.0000000000000001E-3</v>
      </c>
    </row>
    <row r="50" spans="1:15" ht="15.75" x14ac:dyDescent="0.25">
      <c r="A50" s="65"/>
      <c r="B50" s="76" t="s">
        <v>141</v>
      </c>
      <c r="C50" s="74">
        <v>1.4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75"/>
    </row>
    <row r="51" spans="1:15" ht="15.75" x14ac:dyDescent="0.25">
      <c r="A51" s="65"/>
      <c r="B51" s="76" t="s">
        <v>142</v>
      </c>
      <c r="C51" s="74">
        <v>1.36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75"/>
    </row>
    <row r="52" spans="1:15" ht="15.75" x14ac:dyDescent="0.25">
      <c r="A52" s="65"/>
      <c r="B52" s="76" t="s">
        <v>314</v>
      </c>
      <c r="C52" s="74">
        <v>0.35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5"/>
    </row>
    <row r="53" spans="1:15" ht="15.75" x14ac:dyDescent="0.25">
      <c r="A53" s="65"/>
      <c r="B53" s="76" t="s">
        <v>131</v>
      </c>
      <c r="C53" s="74">
        <v>4.0999999999999996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75"/>
    </row>
    <row r="54" spans="1:15" ht="15.75" x14ac:dyDescent="0.25">
      <c r="A54" s="65"/>
      <c r="B54" s="76" t="s">
        <v>159</v>
      </c>
      <c r="C54" s="74">
        <v>1.75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75"/>
    </row>
    <row r="55" spans="1:15" ht="15.75" x14ac:dyDescent="0.25">
      <c r="A55" s="65"/>
      <c r="B55" s="76" t="s">
        <v>139</v>
      </c>
      <c r="C55" s="74">
        <v>5.25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75"/>
    </row>
    <row r="56" spans="1:15" ht="15.75" x14ac:dyDescent="0.25">
      <c r="A56" s="65"/>
      <c r="B56" s="76" t="s">
        <v>130</v>
      </c>
      <c r="C56" s="74">
        <v>0.63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75"/>
    </row>
    <row r="57" spans="1:15" s="11" customFormat="1" ht="15.75" x14ac:dyDescent="0.25">
      <c r="A57" s="65">
        <v>202</v>
      </c>
      <c r="B57" s="73" t="s">
        <v>21</v>
      </c>
      <c r="C57" s="74" t="s">
        <v>151</v>
      </c>
      <c r="D57" s="66">
        <f>37.5/1000*180</f>
        <v>6.75</v>
      </c>
      <c r="E57" s="66">
        <f>38.4/1000*180</f>
        <v>6.911999999999999</v>
      </c>
      <c r="F57" s="66">
        <f>65.5/1000*180</f>
        <v>11.790000000000001</v>
      </c>
      <c r="G57" s="66">
        <f>1.157*180</f>
        <v>208.26</v>
      </c>
      <c r="H57" s="66">
        <f>0.91/1000*180</f>
        <v>0.1638</v>
      </c>
      <c r="I57" s="66">
        <v>0</v>
      </c>
      <c r="J57" s="66">
        <f>0.16*180</f>
        <v>28.8</v>
      </c>
      <c r="K57" s="66">
        <f>2.8/1000*180</f>
        <v>0.504</v>
      </c>
      <c r="L57" s="66">
        <f>94.1/1000*180</f>
        <v>16.937999999999999</v>
      </c>
      <c r="M57" s="66">
        <f>895.3/1000*180</f>
        <v>161.154</v>
      </c>
      <c r="N57" s="66">
        <f>591.4/1000*180</f>
        <v>106.45199999999998</v>
      </c>
      <c r="O57" s="75">
        <f>20.04/1000*180</f>
        <v>3.6071999999999997</v>
      </c>
    </row>
    <row r="58" spans="1:15" ht="15.75" x14ac:dyDescent="0.25">
      <c r="A58" s="65"/>
      <c r="B58" s="76" t="s">
        <v>131</v>
      </c>
      <c r="C58" s="74">
        <f>40/1000*180</f>
        <v>7.2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75"/>
    </row>
    <row r="59" spans="1:15" ht="15.75" x14ac:dyDescent="0.25">
      <c r="A59" s="65"/>
      <c r="B59" s="76" t="s">
        <v>152</v>
      </c>
      <c r="C59" s="74">
        <f>300/1000*180</f>
        <v>54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75"/>
    </row>
    <row r="60" spans="1:15" s="11" customFormat="1" ht="31.5" x14ac:dyDescent="0.25">
      <c r="A60" s="65">
        <v>495</v>
      </c>
      <c r="B60" s="73" t="s">
        <v>22</v>
      </c>
      <c r="C60" s="74" t="s">
        <v>135</v>
      </c>
      <c r="D60" s="66">
        <v>0.5</v>
      </c>
      <c r="E60" s="66">
        <v>0</v>
      </c>
      <c r="F60" s="66">
        <v>27</v>
      </c>
      <c r="G60" s="66">
        <v>110</v>
      </c>
      <c r="H60" s="66">
        <v>0</v>
      </c>
      <c r="I60" s="66">
        <v>0.5</v>
      </c>
      <c r="J60" s="66">
        <v>0</v>
      </c>
      <c r="K60" s="66">
        <v>0</v>
      </c>
      <c r="L60" s="66">
        <v>28</v>
      </c>
      <c r="M60" s="66">
        <v>19</v>
      </c>
      <c r="N60" s="66">
        <v>7</v>
      </c>
      <c r="O60" s="75">
        <v>1.5</v>
      </c>
    </row>
    <row r="61" spans="1:15" ht="15.75" x14ac:dyDescent="0.25">
      <c r="A61" s="65"/>
      <c r="B61" s="76" t="s">
        <v>130</v>
      </c>
      <c r="C61" s="74">
        <v>10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75"/>
    </row>
    <row r="62" spans="1:15" ht="15.75" x14ac:dyDescent="0.25">
      <c r="A62" s="65"/>
      <c r="B62" s="76" t="s">
        <v>147</v>
      </c>
      <c r="C62" s="74">
        <v>10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75"/>
    </row>
    <row r="63" spans="1:15" ht="15.75" x14ac:dyDescent="0.25">
      <c r="A63" s="65"/>
      <c r="B63" s="76" t="s">
        <v>153</v>
      </c>
      <c r="C63" s="74">
        <v>20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75"/>
    </row>
    <row r="64" spans="1:15" s="11" customFormat="1" ht="15.75" x14ac:dyDescent="0.25">
      <c r="A64" s="65"/>
      <c r="B64" s="73" t="s">
        <v>32</v>
      </c>
      <c r="C64" s="74">
        <v>40</v>
      </c>
      <c r="D64" s="66">
        <v>3.3</v>
      </c>
      <c r="E64" s="66">
        <v>0.6</v>
      </c>
      <c r="F64" s="66">
        <v>16.7</v>
      </c>
      <c r="G64" s="66">
        <v>87</v>
      </c>
      <c r="H64" s="66">
        <v>0.09</v>
      </c>
      <c r="I64" s="66">
        <v>0</v>
      </c>
      <c r="J64" s="66">
        <v>0</v>
      </c>
      <c r="K64" s="66">
        <v>0.7</v>
      </c>
      <c r="L64" s="66">
        <v>17.5</v>
      </c>
      <c r="M64" s="66">
        <v>79</v>
      </c>
      <c r="N64" s="66">
        <v>23.5</v>
      </c>
      <c r="O64" s="75">
        <v>1.95</v>
      </c>
    </row>
    <row r="65" spans="1:16" s="11" customFormat="1" ht="15.75" x14ac:dyDescent="0.25">
      <c r="A65" s="65"/>
      <c r="B65" s="73" t="s">
        <v>51</v>
      </c>
      <c r="C65" s="74">
        <v>40</v>
      </c>
      <c r="D65" s="66">
        <v>3.8</v>
      </c>
      <c r="E65" s="66">
        <v>0.4</v>
      </c>
      <c r="F65" s="66">
        <v>24.6</v>
      </c>
      <c r="G65" s="66">
        <v>117.5</v>
      </c>
      <c r="H65" s="66">
        <v>5.5E-2</v>
      </c>
      <c r="I65" s="66">
        <v>0</v>
      </c>
      <c r="J65" s="66">
        <v>0</v>
      </c>
      <c r="K65" s="66">
        <v>0.55000000000000004</v>
      </c>
      <c r="L65" s="66">
        <v>10</v>
      </c>
      <c r="M65" s="66">
        <v>32.5</v>
      </c>
      <c r="N65" s="66">
        <v>7</v>
      </c>
      <c r="O65" s="75">
        <v>0.55000000000000004</v>
      </c>
    </row>
    <row r="66" spans="1:16" s="10" customFormat="1" ht="15.75" x14ac:dyDescent="0.25">
      <c r="A66" s="26"/>
      <c r="B66" s="70" t="s">
        <v>367</v>
      </c>
      <c r="C66" s="71"/>
      <c r="D66" s="72">
        <f>D72+D80+D91+D95+D96+D87</f>
        <v>46.279999999999987</v>
      </c>
      <c r="E66" s="72">
        <f>E72+E80+E87+E91+E95+E96</f>
        <v>37.680000000000007</v>
      </c>
      <c r="F66" s="72">
        <f t="shared" ref="F66:O66" si="2">F72+F80+F91+F95+F96+F87</f>
        <v>106.648</v>
      </c>
      <c r="G66" s="72">
        <f t="shared" si="2"/>
        <v>953.62</v>
      </c>
      <c r="H66" s="72">
        <f t="shared" si="2"/>
        <v>0.34160000000000001</v>
      </c>
      <c r="I66" s="72">
        <f t="shared" si="2"/>
        <v>15.05</v>
      </c>
      <c r="J66" s="72">
        <f t="shared" si="2"/>
        <v>145.804</v>
      </c>
      <c r="K66" s="72">
        <f t="shared" si="2"/>
        <v>3.468</v>
      </c>
      <c r="L66" s="72">
        <f t="shared" si="2"/>
        <v>122.182</v>
      </c>
      <c r="M66" s="72">
        <f t="shared" si="2"/>
        <v>433.46999999999997</v>
      </c>
      <c r="N66" s="72">
        <f t="shared" si="2"/>
        <v>97.938000000000002</v>
      </c>
      <c r="O66" s="72">
        <f t="shared" si="2"/>
        <v>8.9323999999999995</v>
      </c>
      <c r="P66" s="6"/>
    </row>
    <row r="67" spans="1:16" s="10" customFormat="1" ht="31.5" x14ac:dyDescent="0.25">
      <c r="A67" s="26">
        <v>19</v>
      </c>
      <c r="B67" s="70" t="s">
        <v>330</v>
      </c>
      <c r="C67" s="71">
        <v>100</v>
      </c>
      <c r="D67" s="66">
        <v>0.8</v>
      </c>
      <c r="E67" s="66">
        <v>6.3</v>
      </c>
      <c r="F67" s="66">
        <v>6</v>
      </c>
      <c r="G67" s="66">
        <v>83</v>
      </c>
      <c r="H67" s="66">
        <v>0.05</v>
      </c>
      <c r="I67" s="66">
        <v>15.5</v>
      </c>
      <c r="J67" s="66">
        <v>0</v>
      </c>
      <c r="K67" s="66">
        <v>4</v>
      </c>
      <c r="L67" s="66">
        <v>15.1</v>
      </c>
      <c r="M67" s="66">
        <v>19.399999999999999</v>
      </c>
      <c r="N67" s="66">
        <v>14.9</v>
      </c>
      <c r="O67" s="98">
        <v>1.37</v>
      </c>
      <c r="P67" s="6"/>
    </row>
    <row r="68" spans="1:16" s="10" customFormat="1" ht="15.75" x14ac:dyDescent="0.25">
      <c r="A68" s="26"/>
      <c r="B68" s="99" t="s">
        <v>146</v>
      </c>
      <c r="C68" s="74">
        <v>6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7"/>
      <c r="P68" s="6"/>
    </row>
    <row r="69" spans="1:16" s="10" customFormat="1" ht="15.75" x14ac:dyDescent="0.25">
      <c r="A69" s="26"/>
      <c r="B69" s="99" t="s">
        <v>20</v>
      </c>
      <c r="C69" s="74">
        <v>0.25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97"/>
      <c r="P69" s="6"/>
    </row>
    <row r="70" spans="1:16" s="10" customFormat="1" ht="15.75" x14ac:dyDescent="0.25">
      <c r="A70" s="26"/>
      <c r="B70" s="99" t="s">
        <v>331</v>
      </c>
      <c r="C70" s="74">
        <v>57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97"/>
      <c r="P70" s="6"/>
    </row>
    <row r="71" spans="1:16" s="10" customFormat="1" ht="15.75" x14ac:dyDescent="0.25">
      <c r="A71" s="26"/>
      <c r="B71" s="99" t="s">
        <v>27</v>
      </c>
      <c r="C71" s="74">
        <v>38.700000000000003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97"/>
      <c r="P71" s="6"/>
    </row>
    <row r="72" spans="1:16" s="11" customFormat="1" ht="15.75" x14ac:dyDescent="0.25">
      <c r="A72" s="65">
        <v>111</v>
      </c>
      <c r="B72" s="73" t="s">
        <v>23</v>
      </c>
      <c r="C72" s="74" t="s">
        <v>129</v>
      </c>
      <c r="D72" s="66">
        <v>13.32</v>
      </c>
      <c r="E72" s="66">
        <v>12.82</v>
      </c>
      <c r="F72" s="66">
        <v>3.47</v>
      </c>
      <c r="G72" s="66">
        <v>182.7</v>
      </c>
      <c r="H72" s="66">
        <v>0.05</v>
      </c>
      <c r="I72" s="66">
        <v>2.85</v>
      </c>
      <c r="J72" s="66">
        <v>78.62</v>
      </c>
      <c r="K72" s="66">
        <v>0.41</v>
      </c>
      <c r="L72" s="66">
        <v>42.75</v>
      </c>
      <c r="M72" s="66">
        <v>99.62</v>
      </c>
      <c r="N72" s="66">
        <v>25.3</v>
      </c>
      <c r="O72" s="75">
        <v>1.67</v>
      </c>
    </row>
    <row r="73" spans="1:16" ht="15.75" x14ac:dyDescent="0.25">
      <c r="A73" s="65"/>
      <c r="B73" s="76" t="s">
        <v>154</v>
      </c>
      <c r="C73" s="74">
        <v>29.62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75"/>
    </row>
    <row r="74" spans="1:16" ht="15.75" x14ac:dyDescent="0.25">
      <c r="A74" s="65"/>
      <c r="B74" s="76" t="s">
        <v>139</v>
      </c>
      <c r="C74" s="74">
        <v>12.5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75"/>
    </row>
    <row r="75" spans="1:16" ht="15.75" x14ac:dyDescent="0.25">
      <c r="A75" s="65"/>
      <c r="B75" s="76" t="s">
        <v>131</v>
      </c>
      <c r="C75" s="74">
        <v>5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75"/>
    </row>
    <row r="76" spans="1:16" ht="15.75" x14ac:dyDescent="0.25">
      <c r="A76" s="65"/>
      <c r="B76" s="76" t="s">
        <v>155</v>
      </c>
      <c r="C76" s="74">
        <v>24.75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75"/>
    </row>
    <row r="77" spans="1:16" ht="15.75" x14ac:dyDescent="0.25">
      <c r="A77" s="65"/>
      <c r="B77" s="76" t="s">
        <v>141</v>
      </c>
      <c r="C77" s="74">
        <v>24.55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75"/>
    </row>
    <row r="78" spans="1:16" ht="15.75" x14ac:dyDescent="0.25">
      <c r="A78" s="65"/>
      <c r="B78" s="76" t="s">
        <v>156</v>
      </c>
      <c r="C78" s="74">
        <v>5.17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5"/>
    </row>
    <row r="79" spans="1:16" ht="15.75" x14ac:dyDescent="0.25">
      <c r="A79" s="65"/>
      <c r="B79" s="76" t="s">
        <v>145</v>
      </c>
      <c r="C79" s="74">
        <v>225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5"/>
    </row>
    <row r="80" spans="1:16" s="11" customFormat="1" ht="15.75" x14ac:dyDescent="0.25">
      <c r="A80" s="65">
        <v>327</v>
      </c>
      <c r="B80" s="73" t="s">
        <v>24</v>
      </c>
      <c r="C80" s="74" t="s">
        <v>157</v>
      </c>
      <c r="D80" s="66">
        <v>18.7</v>
      </c>
      <c r="E80" s="66">
        <v>17</v>
      </c>
      <c r="F80" s="66">
        <v>4.2</v>
      </c>
      <c r="G80" s="66">
        <v>245</v>
      </c>
      <c r="H80" s="66">
        <v>0.04</v>
      </c>
      <c r="I80" s="66">
        <v>0.6</v>
      </c>
      <c r="J80" s="66">
        <v>26</v>
      </c>
      <c r="K80" s="66">
        <v>0.7</v>
      </c>
      <c r="L80" s="66">
        <v>16.39</v>
      </c>
      <c r="M80" s="66">
        <v>155.9</v>
      </c>
      <c r="N80" s="66">
        <v>23.5</v>
      </c>
      <c r="O80" s="75">
        <v>2.67</v>
      </c>
    </row>
    <row r="81" spans="1:15" ht="15.75" x14ac:dyDescent="0.25">
      <c r="A81" s="65"/>
      <c r="B81" s="76" t="s">
        <v>158</v>
      </c>
      <c r="C81" s="74">
        <v>111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5"/>
    </row>
    <row r="82" spans="1:15" ht="15.75" x14ac:dyDescent="0.25">
      <c r="A82" s="65"/>
      <c r="B82" s="76" t="s">
        <v>139</v>
      </c>
      <c r="C82" s="74">
        <v>11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75"/>
    </row>
    <row r="83" spans="1:15" ht="15.75" x14ac:dyDescent="0.25">
      <c r="A83" s="65"/>
      <c r="B83" s="76" t="s">
        <v>131</v>
      </c>
      <c r="C83" s="74">
        <v>6.5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75"/>
    </row>
    <row r="84" spans="1:15" ht="15.75" x14ac:dyDescent="0.25">
      <c r="A84" s="65"/>
      <c r="B84" s="76" t="s">
        <v>159</v>
      </c>
      <c r="C84" s="74">
        <v>3.7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75"/>
    </row>
    <row r="85" spans="1:15" ht="15.75" x14ac:dyDescent="0.25">
      <c r="A85" s="65"/>
      <c r="B85" s="76" t="s">
        <v>141</v>
      </c>
      <c r="C85" s="74">
        <v>14.2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75"/>
    </row>
    <row r="86" spans="1:15" ht="15.75" x14ac:dyDescent="0.25">
      <c r="A86" s="65"/>
      <c r="B86" s="76" t="s">
        <v>20</v>
      </c>
      <c r="C86" s="74">
        <v>0.5</v>
      </c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75"/>
    </row>
    <row r="87" spans="1:15" s="11" customFormat="1" ht="31.5" x14ac:dyDescent="0.25">
      <c r="A87" s="65">
        <v>256</v>
      </c>
      <c r="B87" s="73" t="s">
        <v>25</v>
      </c>
      <c r="C87" s="74">
        <v>180</v>
      </c>
      <c r="D87" s="66">
        <f>0.037*180</f>
        <v>6.6599999999999993</v>
      </c>
      <c r="E87" s="66">
        <v>6.66</v>
      </c>
      <c r="F87" s="66">
        <f>197.1/1000*180</f>
        <v>35.478000000000002</v>
      </c>
      <c r="G87" s="66">
        <f>1.269*180</f>
        <v>228.42</v>
      </c>
      <c r="H87" s="66">
        <f>0.37/1000*180</f>
        <v>6.6599999999999993E-2</v>
      </c>
      <c r="I87" s="66">
        <v>0</v>
      </c>
      <c r="J87" s="66">
        <f>228.8/1000*180</f>
        <v>41.183999999999997</v>
      </c>
      <c r="K87" s="66">
        <f>5.6/1000*180</f>
        <v>1.008</v>
      </c>
      <c r="L87" s="66">
        <f>91.9/1000*180</f>
        <v>16.542000000000002</v>
      </c>
      <c r="M87" s="66">
        <f>302.5/1000*180</f>
        <v>54.449999999999996</v>
      </c>
      <c r="N87" s="66">
        <f>59.1/1000*180</f>
        <v>10.638</v>
      </c>
      <c r="O87" s="75">
        <f>7.18/1000*180</f>
        <v>1.2924</v>
      </c>
    </row>
    <row r="88" spans="1:15" ht="31.5" x14ac:dyDescent="0.25">
      <c r="A88" s="65"/>
      <c r="B88" s="76" t="s">
        <v>133</v>
      </c>
      <c r="C88" s="74">
        <f>17/1000*180</f>
        <v>3.06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75"/>
    </row>
    <row r="89" spans="1:15" ht="15.75" x14ac:dyDescent="0.25">
      <c r="A89" s="65"/>
      <c r="B89" s="76" t="s">
        <v>131</v>
      </c>
      <c r="C89" s="74">
        <f>45/1000*180</f>
        <v>8.1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75"/>
    </row>
    <row r="90" spans="1:15" ht="15.75" x14ac:dyDescent="0.25">
      <c r="A90" s="65"/>
      <c r="B90" s="76" t="s">
        <v>160</v>
      </c>
      <c r="C90" s="74">
        <f>340/1000*180</f>
        <v>61.2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75"/>
    </row>
    <row r="91" spans="1:15" s="11" customFormat="1" ht="31.5" x14ac:dyDescent="0.25">
      <c r="A91" s="65">
        <v>488</v>
      </c>
      <c r="B91" s="73" t="s">
        <v>26</v>
      </c>
      <c r="C91" s="74" t="s">
        <v>135</v>
      </c>
      <c r="D91" s="66">
        <v>0.5</v>
      </c>
      <c r="E91" s="66">
        <v>0.2</v>
      </c>
      <c r="F91" s="66">
        <v>22.2</v>
      </c>
      <c r="G91" s="66">
        <v>93</v>
      </c>
      <c r="H91" s="66">
        <v>0.04</v>
      </c>
      <c r="I91" s="66">
        <v>11.6</v>
      </c>
      <c r="J91" s="66">
        <v>0</v>
      </c>
      <c r="K91" s="66">
        <v>0.1</v>
      </c>
      <c r="L91" s="66">
        <v>19</v>
      </c>
      <c r="M91" s="66">
        <v>12</v>
      </c>
      <c r="N91" s="66">
        <v>8</v>
      </c>
      <c r="O91" s="75">
        <v>0.8</v>
      </c>
    </row>
    <row r="92" spans="1:15" ht="15.75" x14ac:dyDescent="0.25">
      <c r="A92" s="65"/>
      <c r="B92" s="76" t="s">
        <v>161</v>
      </c>
      <c r="C92" s="74">
        <v>36.9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75"/>
    </row>
    <row r="93" spans="1:15" ht="15.75" x14ac:dyDescent="0.25">
      <c r="A93" s="65"/>
      <c r="B93" s="76" t="s">
        <v>162</v>
      </c>
      <c r="C93" s="74">
        <v>39.5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75"/>
    </row>
    <row r="94" spans="1:15" ht="15.75" x14ac:dyDescent="0.25">
      <c r="A94" s="65"/>
      <c r="B94" s="76" t="s">
        <v>130</v>
      </c>
      <c r="C94" s="74">
        <v>10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75"/>
    </row>
    <row r="95" spans="1:15" s="11" customFormat="1" ht="15.75" x14ac:dyDescent="0.25">
      <c r="A95" s="65"/>
      <c r="B95" s="73" t="s">
        <v>51</v>
      </c>
      <c r="C95" s="74">
        <v>40</v>
      </c>
      <c r="D95" s="66">
        <v>3.8</v>
      </c>
      <c r="E95" s="66">
        <v>0.4</v>
      </c>
      <c r="F95" s="66">
        <v>24.6</v>
      </c>
      <c r="G95" s="66">
        <v>117.5</v>
      </c>
      <c r="H95" s="66">
        <v>5.5E-2</v>
      </c>
      <c r="I95" s="66">
        <v>0</v>
      </c>
      <c r="J95" s="66">
        <v>0</v>
      </c>
      <c r="K95" s="66">
        <v>0.55000000000000004</v>
      </c>
      <c r="L95" s="66">
        <v>10</v>
      </c>
      <c r="M95" s="66">
        <v>32.5</v>
      </c>
      <c r="N95" s="66">
        <v>7</v>
      </c>
      <c r="O95" s="75">
        <v>0.55000000000000004</v>
      </c>
    </row>
    <row r="96" spans="1:15" s="11" customFormat="1" ht="15.75" x14ac:dyDescent="0.25">
      <c r="A96" s="65" t="s">
        <v>163</v>
      </c>
      <c r="B96" s="73" t="s">
        <v>32</v>
      </c>
      <c r="C96" s="74">
        <v>40</v>
      </c>
      <c r="D96" s="66">
        <v>3.3</v>
      </c>
      <c r="E96" s="66">
        <v>0.6</v>
      </c>
      <c r="F96" s="66">
        <v>16.7</v>
      </c>
      <c r="G96" s="66">
        <v>87</v>
      </c>
      <c r="H96" s="66">
        <v>0.09</v>
      </c>
      <c r="I96" s="66">
        <v>0</v>
      </c>
      <c r="J96" s="66">
        <v>0</v>
      </c>
      <c r="K96" s="66">
        <v>0.7</v>
      </c>
      <c r="L96" s="66">
        <v>17.5</v>
      </c>
      <c r="M96" s="66">
        <v>79</v>
      </c>
      <c r="N96" s="66">
        <v>23.5</v>
      </c>
      <c r="O96" s="75">
        <v>1.95</v>
      </c>
    </row>
    <row r="97" spans="1:16" s="10" customFormat="1" ht="15.75" x14ac:dyDescent="0.25">
      <c r="A97" s="26"/>
      <c r="B97" s="70" t="s">
        <v>364</v>
      </c>
      <c r="C97" s="71"/>
      <c r="D97" s="72">
        <f>D98+D99</f>
        <v>7.57</v>
      </c>
      <c r="E97" s="72">
        <f t="shared" ref="E97:O97" si="3">E98+E99</f>
        <v>6.41</v>
      </c>
      <c r="F97" s="72">
        <f t="shared" si="3"/>
        <v>32.1</v>
      </c>
      <c r="G97" s="72">
        <f t="shared" si="3"/>
        <v>215.8</v>
      </c>
      <c r="H97" s="72">
        <f t="shared" si="3"/>
        <v>0.10400000000000001</v>
      </c>
      <c r="I97" s="72">
        <f t="shared" si="3"/>
        <v>2.6</v>
      </c>
      <c r="J97" s="72">
        <f t="shared" si="3"/>
        <v>0.04</v>
      </c>
      <c r="K97" s="72">
        <f t="shared" si="3"/>
        <v>0.72</v>
      </c>
      <c r="L97" s="72">
        <f t="shared" si="3"/>
        <v>243.3</v>
      </c>
      <c r="M97" s="72">
        <f t="shared" si="3"/>
        <v>195</v>
      </c>
      <c r="N97" s="72">
        <f t="shared" si="3"/>
        <v>30.7</v>
      </c>
      <c r="O97" s="72">
        <f t="shared" si="3"/>
        <v>0.44</v>
      </c>
      <c r="P97" s="6"/>
    </row>
    <row r="98" spans="1:16" s="11" customFormat="1" ht="15.75" x14ac:dyDescent="0.25">
      <c r="A98" s="65"/>
      <c r="B98" s="73" t="s">
        <v>28</v>
      </c>
      <c r="C98" s="74" t="s">
        <v>164</v>
      </c>
      <c r="D98" s="66">
        <v>1.77</v>
      </c>
      <c r="E98" s="66">
        <v>1.41</v>
      </c>
      <c r="F98" s="66">
        <v>22.5</v>
      </c>
      <c r="G98" s="66">
        <v>109.8</v>
      </c>
      <c r="H98" s="66">
        <v>2.4E-2</v>
      </c>
      <c r="I98" s="66">
        <v>0</v>
      </c>
      <c r="J98" s="66">
        <v>0</v>
      </c>
      <c r="K98" s="66">
        <v>0.72</v>
      </c>
      <c r="L98" s="66">
        <v>3.3</v>
      </c>
      <c r="M98" s="66">
        <v>15</v>
      </c>
      <c r="N98" s="66">
        <v>2.7</v>
      </c>
      <c r="O98" s="75">
        <v>0.24</v>
      </c>
    </row>
    <row r="99" spans="1:16" s="11" customFormat="1" ht="16.5" thickBot="1" x14ac:dyDescent="0.3">
      <c r="A99" s="65"/>
      <c r="B99" s="73" t="s">
        <v>165</v>
      </c>
      <c r="C99" s="74" t="s">
        <v>135</v>
      </c>
      <c r="D99" s="66">
        <v>5.8</v>
      </c>
      <c r="E99" s="66">
        <v>5</v>
      </c>
      <c r="F99" s="66">
        <v>9.6</v>
      </c>
      <c r="G99" s="66">
        <v>106</v>
      </c>
      <c r="H99" s="66">
        <v>0.08</v>
      </c>
      <c r="I99" s="66">
        <v>2.6</v>
      </c>
      <c r="J99" s="66">
        <v>0.04</v>
      </c>
      <c r="K99" s="66">
        <v>0</v>
      </c>
      <c r="L99" s="66">
        <v>240</v>
      </c>
      <c r="M99" s="66">
        <v>180</v>
      </c>
      <c r="N99" s="66">
        <v>28</v>
      </c>
      <c r="O99" s="75">
        <v>0.2</v>
      </c>
    </row>
    <row r="100" spans="1:16" s="14" customFormat="1" ht="16.5" thickBot="1" x14ac:dyDescent="0.3">
      <c r="A100" s="12"/>
      <c r="B100" s="77" t="s">
        <v>29</v>
      </c>
      <c r="C100" s="78"/>
      <c r="D100" s="79">
        <f t="shared" ref="D100:O100" si="4">D10+D28+D66+D97</f>
        <v>115.33214285714286</v>
      </c>
      <c r="E100" s="79">
        <f t="shared" si="4"/>
        <v>103.2477142857143</v>
      </c>
      <c r="F100" s="79">
        <f t="shared" si="4"/>
        <v>338.56228571428574</v>
      </c>
      <c r="G100" s="79">
        <f t="shared" si="4"/>
        <v>2799.1528571428571</v>
      </c>
      <c r="H100" s="79">
        <f t="shared" si="4"/>
        <v>1.2858285714285715</v>
      </c>
      <c r="I100" s="79">
        <f t="shared" si="4"/>
        <v>52.88214285714286</v>
      </c>
      <c r="J100" s="79">
        <f t="shared" si="4"/>
        <v>387.9425714285714</v>
      </c>
      <c r="K100" s="79">
        <f t="shared" si="4"/>
        <v>8.9284285714285705</v>
      </c>
      <c r="L100" s="79">
        <f t="shared" si="4"/>
        <v>1096.0714285714287</v>
      </c>
      <c r="M100" s="79">
        <f t="shared" si="4"/>
        <v>1686.6647142857144</v>
      </c>
      <c r="N100" s="79">
        <f t="shared" si="4"/>
        <v>446.40214285714279</v>
      </c>
      <c r="O100" s="79">
        <f t="shared" si="4"/>
        <v>24.28002857142857</v>
      </c>
      <c r="P100" s="13"/>
    </row>
    <row r="101" spans="1:16" s="1" customFormat="1" x14ac:dyDescent="0.25">
      <c r="A101" s="15"/>
      <c r="B101" s="16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6" s="1" customFormat="1" ht="18.75" x14ac:dyDescent="0.25">
      <c r="A102" s="2"/>
      <c r="B102" s="3" t="s">
        <v>47</v>
      </c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6" x14ac:dyDescent="0.2">
      <c r="A103" s="101"/>
      <c r="B103" s="102" t="s">
        <v>116</v>
      </c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6" ht="15.75" thickBot="1" x14ac:dyDescent="0.25">
      <c r="A104" s="101"/>
      <c r="B104" s="102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6" s="8" customFormat="1" ht="16.5" thickBot="1" x14ac:dyDescent="0.3">
      <c r="A105" s="103" t="s">
        <v>5</v>
      </c>
      <c r="B105" s="104" t="s">
        <v>117</v>
      </c>
      <c r="C105" s="105" t="s">
        <v>118</v>
      </c>
      <c r="D105" s="106" t="s">
        <v>3</v>
      </c>
      <c r="E105" s="106"/>
      <c r="F105" s="106"/>
      <c r="G105" s="106" t="s">
        <v>119</v>
      </c>
      <c r="H105" s="106" t="s">
        <v>1</v>
      </c>
      <c r="I105" s="106"/>
      <c r="J105" s="106"/>
      <c r="K105" s="106"/>
      <c r="L105" s="108" t="s">
        <v>2</v>
      </c>
      <c r="M105" s="108"/>
      <c r="N105" s="108"/>
      <c r="O105" s="108"/>
      <c r="P105" s="7"/>
    </row>
    <row r="106" spans="1:16" s="9" customFormat="1" ht="31.5" x14ac:dyDescent="0.25">
      <c r="A106" s="103"/>
      <c r="B106" s="104"/>
      <c r="C106" s="105"/>
      <c r="D106" s="63" t="s">
        <v>120</v>
      </c>
      <c r="E106" s="63" t="s">
        <v>121</v>
      </c>
      <c r="F106" s="63" t="s">
        <v>122</v>
      </c>
      <c r="G106" s="106"/>
      <c r="H106" s="63" t="s">
        <v>123</v>
      </c>
      <c r="I106" s="63" t="s">
        <v>124</v>
      </c>
      <c r="J106" s="63" t="s">
        <v>125</v>
      </c>
      <c r="K106" s="63" t="s">
        <v>126</v>
      </c>
      <c r="L106" s="63" t="s">
        <v>127</v>
      </c>
      <c r="M106" s="63" t="s">
        <v>128</v>
      </c>
      <c r="N106" s="63" t="s">
        <v>0</v>
      </c>
      <c r="O106" s="64" t="s">
        <v>4</v>
      </c>
      <c r="P106" s="1"/>
    </row>
    <row r="107" spans="1:16" s="10" customFormat="1" ht="15.75" x14ac:dyDescent="0.25">
      <c r="A107" s="26"/>
      <c r="B107" s="73" t="s">
        <v>368</v>
      </c>
      <c r="C107" s="71"/>
      <c r="D107" s="72">
        <f>D108+D119+D123+D126+D127+D128</f>
        <v>22.037999999999997</v>
      </c>
      <c r="E107" s="72">
        <f t="shared" ref="E107:O107" si="5">E108+E119+E123+E126+E127+E128</f>
        <v>10.756</v>
      </c>
      <c r="F107" s="72">
        <f t="shared" si="5"/>
        <v>106.16000000000001</v>
      </c>
      <c r="G107" s="72">
        <f t="shared" si="5"/>
        <v>611.05999999999995</v>
      </c>
      <c r="H107" s="72">
        <f t="shared" si="5"/>
        <v>0.24279999999999999</v>
      </c>
      <c r="I107" s="72">
        <f t="shared" si="5"/>
        <v>1.98</v>
      </c>
      <c r="J107" s="72">
        <f t="shared" si="5"/>
        <v>58.26</v>
      </c>
      <c r="K107" s="72">
        <f t="shared" si="5"/>
        <v>2.4319999999999999</v>
      </c>
      <c r="L107" s="72">
        <f t="shared" si="5"/>
        <v>87.699999999999989</v>
      </c>
      <c r="M107" s="72">
        <f t="shared" si="5"/>
        <v>334.90999999999997</v>
      </c>
      <c r="N107" s="72">
        <f t="shared" si="5"/>
        <v>89.22</v>
      </c>
      <c r="O107" s="72">
        <f t="shared" si="5"/>
        <v>3.3868</v>
      </c>
      <c r="P107" s="6"/>
    </row>
    <row r="108" spans="1:16" s="11" customFormat="1" ht="31.5" x14ac:dyDescent="0.25">
      <c r="A108" s="65">
        <v>298</v>
      </c>
      <c r="B108" s="73" t="s">
        <v>166</v>
      </c>
      <c r="C108" s="74">
        <v>120</v>
      </c>
      <c r="D108" s="66">
        <f>17.2/200*120</f>
        <v>10.319999999999999</v>
      </c>
      <c r="E108" s="66">
        <f>5.4/200*120</f>
        <v>3.24</v>
      </c>
      <c r="F108" s="66">
        <f>5.4/200*120</f>
        <v>3.24</v>
      </c>
      <c r="G108" s="66">
        <f>0.695*120</f>
        <v>83.399999999999991</v>
      </c>
      <c r="H108" s="66">
        <f>0.1/200*120</f>
        <v>0.06</v>
      </c>
      <c r="I108" s="66">
        <f>3.3/200*120</f>
        <v>1.98</v>
      </c>
      <c r="J108" s="66">
        <f>43.1/200*120</f>
        <v>25.86</v>
      </c>
      <c r="K108" s="66">
        <f>1.4/200*120</f>
        <v>0.83999999999999986</v>
      </c>
      <c r="L108" s="66">
        <f>67.6/200*120</f>
        <v>40.559999999999995</v>
      </c>
      <c r="M108" s="66">
        <f>1.02*120</f>
        <v>122.4</v>
      </c>
      <c r="N108" s="66">
        <f>43.1/200*120</f>
        <v>25.86</v>
      </c>
      <c r="O108" s="75">
        <f>0.93/200*120</f>
        <v>0.55800000000000005</v>
      </c>
    </row>
    <row r="109" spans="1:16" ht="15.75" x14ac:dyDescent="0.25">
      <c r="A109" s="65"/>
      <c r="B109" s="76" t="s">
        <v>278</v>
      </c>
      <c r="C109" s="74">
        <f>121/200*120</f>
        <v>72.599999999999994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75"/>
    </row>
    <row r="110" spans="1:16" ht="15.75" x14ac:dyDescent="0.25">
      <c r="A110" s="65"/>
      <c r="B110" s="76" t="s">
        <v>146</v>
      </c>
      <c r="C110" s="74">
        <f>2/200*120</f>
        <v>1.2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75"/>
    </row>
    <row r="111" spans="1:16" ht="15.75" x14ac:dyDescent="0.25">
      <c r="A111" s="65"/>
      <c r="B111" s="76" t="s">
        <v>159</v>
      </c>
      <c r="C111" s="74">
        <v>3.94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75"/>
    </row>
    <row r="112" spans="1:16" ht="15.75" x14ac:dyDescent="0.25">
      <c r="A112" s="65"/>
      <c r="B112" s="76" t="s">
        <v>131</v>
      </c>
      <c r="C112" s="74">
        <v>4.1900000000000004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75"/>
    </row>
    <row r="113" spans="1:15" ht="15.75" x14ac:dyDescent="0.25">
      <c r="A113" s="65"/>
      <c r="B113" s="76" t="s">
        <v>140</v>
      </c>
      <c r="C113" s="74">
        <v>25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75"/>
    </row>
    <row r="114" spans="1:15" ht="15.75" x14ac:dyDescent="0.25">
      <c r="A114" s="65"/>
      <c r="B114" s="76" t="s">
        <v>168</v>
      </c>
      <c r="C114" s="74">
        <f>2/200*120</f>
        <v>1.2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75"/>
    </row>
    <row r="115" spans="1:15" ht="15.75" x14ac:dyDescent="0.25">
      <c r="A115" s="65"/>
      <c r="B115" s="76" t="s">
        <v>159</v>
      </c>
      <c r="C115" s="74">
        <v>1.25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75"/>
    </row>
    <row r="116" spans="1:15" ht="15.75" x14ac:dyDescent="0.25">
      <c r="A116" s="65"/>
      <c r="B116" s="76" t="s">
        <v>141</v>
      </c>
      <c r="C116" s="74">
        <f>20.1/200*120</f>
        <v>12.06</v>
      </c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75"/>
    </row>
    <row r="117" spans="1:15" ht="15.75" x14ac:dyDescent="0.25">
      <c r="A117" s="65"/>
      <c r="B117" s="76" t="s">
        <v>142</v>
      </c>
      <c r="C117" s="74">
        <f>35.8/200*120</f>
        <v>21.48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75"/>
    </row>
    <row r="118" spans="1:15" ht="15.75" x14ac:dyDescent="0.25">
      <c r="A118" s="65"/>
      <c r="B118" s="76" t="s">
        <v>131</v>
      </c>
      <c r="C118" s="74">
        <v>1.25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5"/>
    </row>
    <row r="119" spans="1:15" s="11" customFormat="1" ht="15.75" x14ac:dyDescent="0.25">
      <c r="A119" s="65">
        <v>385</v>
      </c>
      <c r="B119" s="73" t="s">
        <v>30</v>
      </c>
      <c r="C119" s="74" t="s">
        <v>151</v>
      </c>
      <c r="D119" s="66">
        <f>25.1/1000*180</f>
        <v>4.5179999999999998</v>
      </c>
      <c r="E119" s="66">
        <f>36.2/1000*180</f>
        <v>6.5160000000000009</v>
      </c>
      <c r="F119" s="66">
        <f>0.259*180</f>
        <v>46.620000000000005</v>
      </c>
      <c r="G119" s="66">
        <f>1.462*180</f>
        <v>263.15999999999997</v>
      </c>
      <c r="H119" s="66">
        <f>0.21/1000*180</f>
        <v>3.7799999999999993E-2</v>
      </c>
      <c r="I119" s="66">
        <v>0</v>
      </c>
      <c r="J119" s="66">
        <f>0.18*180</f>
        <v>32.4</v>
      </c>
      <c r="K119" s="66">
        <f>1.9/1000*180</f>
        <v>0.34200000000000003</v>
      </c>
      <c r="L119" s="66">
        <f>0.048*180</f>
        <v>8.64</v>
      </c>
      <c r="M119" s="66">
        <f>544.5/1000*180</f>
        <v>98.009999999999991</v>
      </c>
      <c r="N119" s="66">
        <f>0.177*180</f>
        <v>31.86</v>
      </c>
      <c r="O119" s="75">
        <f>0.16/1000*180</f>
        <v>2.8800000000000003E-2</v>
      </c>
    </row>
    <row r="120" spans="1:15" ht="15.75" x14ac:dyDescent="0.25">
      <c r="A120" s="65"/>
      <c r="B120" s="76" t="s">
        <v>149</v>
      </c>
      <c r="C120" s="74">
        <v>64.150000000000006</v>
      </c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5"/>
    </row>
    <row r="121" spans="1:15" ht="15.75" x14ac:dyDescent="0.25">
      <c r="A121" s="65"/>
      <c r="B121" s="76" t="s">
        <v>131</v>
      </c>
      <c r="C121" s="74">
        <f>45/1000*180</f>
        <v>8.1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75"/>
    </row>
    <row r="122" spans="1:15" ht="15.75" x14ac:dyDescent="0.25">
      <c r="A122" s="65"/>
      <c r="B122" s="76" t="s">
        <v>168</v>
      </c>
      <c r="C122" s="74">
        <f>2.5/1000*180</f>
        <v>0.45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5"/>
    </row>
    <row r="123" spans="1:15" s="11" customFormat="1" ht="15.75" x14ac:dyDescent="0.25">
      <c r="A123" s="65">
        <v>457</v>
      </c>
      <c r="B123" s="73" t="s">
        <v>31</v>
      </c>
      <c r="C123" s="74" t="s">
        <v>135</v>
      </c>
      <c r="D123" s="66">
        <v>0.1</v>
      </c>
      <c r="E123" s="66">
        <v>0</v>
      </c>
      <c r="F123" s="66">
        <v>15</v>
      </c>
      <c r="G123" s="66">
        <v>60</v>
      </c>
      <c r="H123" s="66">
        <v>0</v>
      </c>
      <c r="I123" s="66">
        <v>0</v>
      </c>
      <c r="J123" s="66">
        <v>0</v>
      </c>
      <c r="K123" s="66">
        <v>0</v>
      </c>
      <c r="L123" s="66">
        <v>11</v>
      </c>
      <c r="M123" s="66">
        <v>3</v>
      </c>
      <c r="N123" s="66">
        <v>1</v>
      </c>
      <c r="O123" s="75">
        <v>0.3</v>
      </c>
    </row>
    <row r="124" spans="1:15" ht="15.75" x14ac:dyDescent="0.25">
      <c r="A124" s="65"/>
      <c r="B124" s="76" t="s">
        <v>130</v>
      </c>
      <c r="C124" s="74">
        <v>10</v>
      </c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75"/>
    </row>
    <row r="125" spans="1:15" ht="15.75" x14ac:dyDescent="0.25">
      <c r="A125" s="65"/>
      <c r="B125" s="76" t="s">
        <v>169</v>
      </c>
      <c r="C125" s="74">
        <v>1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75"/>
    </row>
    <row r="126" spans="1:15" s="11" customFormat="1" ht="15.75" x14ac:dyDescent="0.25">
      <c r="A126" s="65"/>
      <c r="B126" s="73" t="s">
        <v>51</v>
      </c>
      <c r="C126" s="74">
        <v>40</v>
      </c>
      <c r="D126" s="66">
        <v>3.8</v>
      </c>
      <c r="E126" s="66">
        <v>0.4</v>
      </c>
      <c r="F126" s="66">
        <v>24.6</v>
      </c>
      <c r="G126" s="66">
        <v>117.5</v>
      </c>
      <c r="H126" s="66">
        <v>5.5E-2</v>
      </c>
      <c r="I126" s="66">
        <v>0</v>
      </c>
      <c r="J126" s="66">
        <v>0</v>
      </c>
      <c r="K126" s="66">
        <v>0.55000000000000004</v>
      </c>
      <c r="L126" s="66">
        <v>10</v>
      </c>
      <c r="M126" s="66">
        <v>32.5</v>
      </c>
      <c r="N126" s="66">
        <v>7</v>
      </c>
      <c r="O126" s="75">
        <v>0.55000000000000004</v>
      </c>
    </row>
    <row r="127" spans="1:15" s="11" customFormat="1" ht="15.75" x14ac:dyDescent="0.25">
      <c r="A127" s="65"/>
      <c r="B127" s="73" t="s">
        <v>32</v>
      </c>
      <c r="C127" s="74">
        <v>40</v>
      </c>
      <c r="D127" s="66">
        <v>3.3</v>
      </c>
      <c r="E127" s="66">
        <v>0.6</v>
      </c>
      <c r="F127" s="66">
        <v>16.7</v>
      </c>
      <c r="G127" s="66">
        <v>87</v>
      </c>
      <c r="H127" s="66">
        <v>0.09</v>
      </c>
      <c r="I127" s="66">
        <v>0</v>
      </c>
      <c r="J127" s="66">
        <v>0</v>
      </c>
      <c r="K127" s="66">
        <v>0.7</v>
      </c>
      <c r="L127" s="66">
        <v>17.5</v>
      </c>
      <c r="M127" s="66">
        <v>79</v>
      </c>
      <c r="N127" s="66">
        <v>23.5</v>
      </c>
      <c r="O127" s="75">
        <v>1.95</v>
      </c>
    </row>
    <row r="128" spans="1:15" s="11" customFormat="1" ht="15.75" x14ac:dyDescent="0.25">
      <c r="A128" s="65">
        <v>82</v>
      </c>
      <c r="B128" s="73" t="s">
        <v>33</v>
      </c>
      <c r="C128" s="74">
        <v>150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5"/>
    </row>
    <row r="129" spans="1:16" s="10" customFormat="1" ht="15.75" x14ac:dyDescent="0.25">
      <c r="A129" s="26"/>
      <c r="B129" s="70" t="s">
        <v>356</v>
      </c>
      <c r="C129" s="71"/>
      <c r="D129" s="72">
        <f t="shared" ref="D129:O129" si="6">D130+D139+D147+D153+D154+D155</f>
        <v>36.954545454545453</v>
      </c>
      <c r="E129" s="72">
        <f t="shared" si="6"/>
        <v>38.304545454545448</v>
      </c>
      <c r="F129" s="72">
        <f t="shared" si="6"/>
        <v>95.539090909090902</v>
      </c>
      <c r="G129" s="72">
        <f t="shared" si="6"/>
        <v>877.93181818181756</v>
      </c>
      <c r="H129" s="72">
        <f t="shared" si="6"/>
        <v>0.37909090909090915</v>
      </c>
      <c r="I129" s="72">
        <f t="shared" si="6"/>
        <v>98.406818181818181</v>
      </c>
      <c r="J129" s="72">
        <f t="shared" si="6"/>
        <v>0</v>
      </c>
      <c r="K129" s="72">
        <f t="shared" si="6"/>
        <v>10.929545454545455</v>
      </c>
      <c r="L129" s="72">
        <f t="shared" si="6"/>
        <v>139.85909090909092</v>
      </c>
      <c r="M129" s="72">
        <f t="shared" si="6"/>
        <v>515.14545454545453</v>
      </c>
      <c r="N129" s="72">
        <f t="shared" si="6"/>
        <v>143.23181818181817</v>
      </c>
      <c r="O129" s="72">
        <f t="shared" si="6"/>
        <v>10.169545454545453</v>
      </c>
      <c r="P129" s="6"/>
    </row>
    <row r="130" spans="1:16" s="11" customFormat="1" ht="15.75" x14ac:dyDescent="0.25">
      <c r="A130" s="65">
        <v>54</v>
      </c>
      <c r="B130" s="73" t="s">
        <v>170</v>
      </c>
      <c r="C130" s="74" t="s">
        <v>137</v>
      </c>
      <c r="D130" s="66">
        <v>2.1</v>
      </c>
      <c r="E130" s="66">
        <v>5.5</v>
      </c>
      <c r="F130" s="66">
        <v>9.3000000000000007</v>
      </c>
      <c r="G130" s="66">
        <v>95</v>
      </c>
      <c r="H130" s="66">
        <v>0.05</v>
      </c>
      <c r="I130" s="66">
        <v>5.6</v>
      </c>
      <c r="J130" s="66">
        <v>0</v>
      </c>
      <c r="K130" s="66">
        <v>3.1</v>
      </c>
      <c r="L130" s="66">
        <v>29.2</v>
      </c>
      <c r="M130" s="66">
        <v>63.6</v>
      </c>
      <c r="N130" s="66">
        <v>37.799999999999997</v>
      </c>
      <c r="O130" s="75">
        <v>1.0900000000000001</v>
      </c>
    </row>
    <row r="131" spans="1:16" ht="15.75" x14ac:dyDescent="0.25">
      <c r="A131" s="65"/>
      <c r="B131" s="76" t="s">
        <v>147</v>
      </c>
      <c r="C131" s="74">
        <v>20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5"/>
    </row>
    <row r="132" spans="1:16" ht="15.75" x14ac:dyDescent="0.25">
      <c r="A132" s="65"/>
      <c r="B132" s="76" t="s">
        <v>141</v>
      </c>
      <c r="C132" s="74">
        <v>17.600000000000001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75"/>
    </row>
    <row r="133" spans="1:16" ht="15.75" x14ac:dyDescent="0.25">
      <c r="A133" s="65"/>
      <c r="B133" s="76" t="s">
        <v>146</v>
      </c>
      <c r="C133" s="74">
        <v>6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75"/>
    </row>
    <row r="134" spans="1:16" ht="15.75" x14ac:dyDescent="0.25">
      <c r="A134" s="65"/>
      <c r="B134" s="76" t="s">
        <v>168</v>
      </c>
      <c r="C134" s="74">
        <v>0.25</v>
      </c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75"/>
    </row>
    <row r="135" spans="1:16" ht="15.75" x14ac:dyDescent="0.25">
      <c r="A135" s="65"/>
      <c r="B135" s="76" t="s">
        <v>139</v>
      </c>
      <c r="C135" s="74">
        <v>28</v>
      </c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75"/>
    </row>
    <row r="136" spans="1:16" ht="15.75" x14ac:dyDescent="0.25">
      <c r="A136" s="65"/>
      <c r="B136" s="76" t="s">
        <v>130</v>
      </c>
      <c r="C136" s="74">
        <v>1.2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75"/>
    </row>
    <row r="137" spans="1:16" ht="15.75" x14ac:dyDescent="0.25">
      <c r="A137" s="65"/>
      <c r="B137" s="76" t="s">
        <v>142</v>
      </c>
      <c r="C137" s="74">
        <v>73.3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75"/>
    </row>
    <row r="138" spans="1:16" ht="15.75" x14ac:dyDescent="0.25">
      <c r="A138" s="65"/>
      <c r="B138" s="76" t="s">
        <v>131</v>
      </c>
      <c r="C138" s="74">
        <v>3.75</v>
      </c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75"/>
    </row>
    <row r="139" spans="1:16" s="11" customFormat="1" ht="15.75" x14ac:dyDescent="0.25">
      <c r="A139" s="65">
        <v>104</v>
      </c>
      <c r="B139" s="73" t="s">
        <v>34</v>
      </c>
      <c r="C139" s="74" t="s">
        <v>129</v>
      </c>
      <c r="D139" s="66">
        <v>1.6</v>
      </c>
      <c r="E139" s="66">
        <v>4.8</v>
      </c>
      <c r="F139" s="66">
        <v>6.23</v>
      </c>
      <c r="G139" s="66">
        <v>75.75</v>
      </c>
      <c r="H139" s="66">
        <v>2.5000000000000001E-2</v>
      </c>
      <c r="I139" s="66">
        <v>18.375</v>
      </c>
      <c r="J139" s="66">
        <v>0</v>
      </c>
      <c r="K139" s="66">
        <v>2.375</v>
      </c>
      <c r="L139" s="66">
        <v>40.25</v>
      </c>
      <c r="M139" s="66">
        <v>36.25</v>
      </c>
      <c r="N139" s="66">
        <v>17.5</v>
      </c>
      <c r="O139" s="75">
        <v>0.625</v>
      </c>
      <c r="P139" s="6"/>
    </row>
    <row r="140" spans="1:16" ht="15.75" x14ac:dyDescent="0.25">
      <c r="A140" s="65"/>
      <c r="B140" s="76" t="s">
        <v>139</v>
      </c>
      <c r="C140" s="74">
        <v>2.5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75"/>
    </row>
    <row r="141" spans="1:16" ht="15.75" x14ac:dyDescent="0.25">
      <c r="A141" s="65"/>
      <c r="B141" s="76" t="s">
        <v>141</v>
      </c>
      <c r="C141" s="74">
        <v>12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75"/>
    </row>
    <row r="142" spans="1:16" ht="15.75" x14ac:dyDescent="0.25">
      <c r="A142" s="65"/>
      <c r="B142" s="76" t="s">
        <v>142</v>
      </c>
      <c r="C142" s="74">
        <v>12.5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75"/>
    </row>
    <row r="143" spans="1:16" ht="15.75" x14ac:dyDescent="0.25">
      <c r="A143" s="65"/>
      <c r="B143" s="76" t="s">
        <v>140</v>
      </c>
      <c r="C143" s="74">
        <v>12.5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75"/>
    </row>
    <row r="144" spans="1:16" ht="15.75" x14ac:dyDescent="0.25">
      <c r="A144" s="65"/>
      <c r="B144" s="76" t="s">
        <v>143</v>
      </c>
      <c r="C144" s="74">
        <v>100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75"/>
    </row>
    <row r="145" spans="1:16" ht="15.75" x14ac:dyDescent="0.25">
      <c r="A145" s="65"/>
      <c r="B145" s="76" t="s">
        <v>171</v>
      </c>
      <c r="C145" s="74">
        <v>40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75"/>
    </row>
    <row r="146" spans="1:16" ht="15.75" x14ac:dyDescent="0.25">
      <c r="A146" s="65"/>
      <c r="B146" s="76" t="s">
        <v>146</v>
      </c>
      <c r="C146" s="74">
        <v>5</v>
      </c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75"/>
    </row>
    <row r="147" spans="1:16" s="11" customFormat="1" ht="15.75" x14ac:dyDescent="0.25">
      <c r="A147" s="65">
        <v>328</v>
      </c>
      <c r="B147" s="73" t="s">
        <v>93</v>
      </c>
      <c r="C147" s="74">
        <v>250</v>
      </c>
      <c r="D147" s="66">
        <f>22.4/220*250</f>
        <v>25.454545454545453</v>
      </c>
      <c r="E147" s="66">
        <f>23.5/220*250</f>
        <v>26.704545454545453</v>
      </c>
      <c r="F147" s="66">
        <f>0.0636363636363636*250</f>
        <v>15.909090909090901</v>
      </c>
      <c r="G147" s="66">
        <f>1.62272727272727*250</f>
        <v>405.6818181818175</v>
      </c>
      <c r="H147" s="66">
        <f>0.14/220*250</f>
        <v>0.15909090909090909</v>
      </c>
      <c r="I147" s="66">
        <f>3.9/220*250</f>
        <v>4.4318181818181817</v>
      </c>
      <c r="J147" s="66">
        <v>0</v>
      </c>
      <c r="K147" s="66">
        <f>3.7/220*250</f>
        <v>4.204545454545455</v>
      </c>
      <c r="L147" s="66">
        <f>27.2/220*250</f>
        <v>30.909090909090907</v>
      </c>
      <c r="M147" s="66">
        <f>264.7/220*250</f>
        <v>300.7954545454545</v>
      </c>
      <c r="N147" s="66">
        <f>47.9/220*250</f>
        <v>54.43181818181818</v>
      </c>
      <c r="O147" s="75">
        <f>3.92/220*250</f>
        <v>4.4545454545454541</v>
      </c>
    </row>
    <row r="148" spans="1:16" ht="31.5" x14ac:dyDescent="0.25">
      <c r="A148" s="65"/>
      <c r="B148" s="76" t="s">
        <v>172</v>
      </c>
      <c r="C148" s="74">
        <v>127.27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75"/>
    </row>
    <row r="149" spans="1:16" ht="15.75" x14ac:dyDescent="0.25">
      <c r="A149" s="65"/>
      <c r="B149" s="76" t="s">
        <v>139</v>
      </c>
      <c r="C149" s="74">
        <v>7.95</v>
      </c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75"/>
    </row>
    <row r="150" spans="1:16" ht="15.75" x14ac:dyDescent="0.25">
      <c r="A150" s="65"/>
      <c r="B150" s="76" t="s">
        <v>131</v>
      </c>
      <c r="C150" s="74">
        <v>7.95</v>
      </c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75"/>
    </row>
    <row r="151" spans="1:16" ht="15.75" x14ac:dyDescent="0.25">
      <c r="A151" s="65"/>
      <c r="B151" s="76" t="s">
        <v>141</v>
      </c>
      <c r="C151" s="74">
        <v>16.7</v>
      </c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75"/>
    </row>
    <row r="152" spans="1:16" ht="15.75" x14ac:dyDescent="0.25">
      <c r="A152" s="65"/>
      <c r="B152" s="76" t="s">
        <v>171</v>
      </c>
      <c r="C152" s="74">
        <v>129.54</v>
      </c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5"/>
    </row>
    <row r="153" spans="1:16" s="11" customFormat="1" ht="15.75" x14ac:dyDescent="0.25">
      <c r="A153" s="65"/>
      <c r="B153" s="73" t="s">
        <v>51</v>
      </c>
      <c r="C153" s="74">
        <v>40</v>
      </c>
      <c r="D153" s="66">
        <v>3.8</v>
      </c>
      <c r="E153" s="66">
        <v>0.4</v>
      </c>
      <c r="F153" s="66">
        <v>24.6</v>
      </c>
      <c r="G153" s="66">
        <v>117.5</v>
      </c>
      <c r="H153" s="66">
        <v>5.5E-2</v>
      </c>
      <c r="I153" s="66">
        <v>0</v>
      </c>
      <c r="J153" s="66">
        <v>0</v>
      </c>
      <c r="K153" s="66">
        <v>0.55000000000000004</v>
      </c>
      <c r="L153" s="66">
        <v>10</v>
      </c>
      <c r="M153" s="66">
        <v>32.5</v>
      </c>
      <c r="N153" s="66">
        <v>7</v>
      </c>
      <c r="O153" s="75">
        <v>0.55000000000000004</v>
      </c>
    </row>
    <row r="154" spans="1:16" s="11" customFormat="1" ht="15.75" x14ac:dyDescent="0.25">
      <c r="A154" s="65"/>
      <c r="B154" s="73" t="s">
        <v>32</v>
      </c>
      <c r="C154" s="74">
        <v>40</v>
      </c>
      <c r="D154" s="66">
        <v>3.3</v>
      </c>
      <c r="E154" s="66">
        <v>0.6</v>
      </c>
      <c r="F154" s="66">
        <v>16.7</v>
      </c>
      <c r="G154" s="66">
        <v>87</v>
      </c>
      <c r="H154" s="66">
        <v>0.09</v>
      </c>
      <c r="I154" s="66">
        <v>0</v>
      </c>
      <c r="J154" s="66">
        <v>0</v>
      </c>
      <c r="K154" s="66">
        <v>0.7</v>
      </c>
      <c r="L154" s="66">
        <v>17.5</v>
      </c>
      <c r="M154" s="66">
        <v>79</v>
      </c>
      <c r="N154" s="66">
        <v>23.5</v>
      </c>
      <c r="O154" s="75">
        <v>1.95</v>
      </c>
    </row>
    <row r="155" spans="1:16" s="11" customFormat="1" ht="15.75" x14ac:dyDescent="0.25">
      <c r="A155" s="65">
        <v>496</v>
      </c>
      <c r="B155" s="73" t="s">
        <v>36</v>
      </c>
      <c r="C155" s="74" t="s">
        <v>135</v>
      </c>
      <c r="D155" s="66">
        <v>0.7</v>
      </c>
      <c r="E155" s="66">
        <v>0.3</v>
      </c>
      <c r="F155" s="66">
        <v>22.8</v>
      </c>
      <c r="G155" s="66">
        <v>97</v>
      </c>
      <c r="H155" s="66">
        <v>0</v>
      </c>
      <c r="I155" s="66">
        <v>70</v>
      </c>
      <c r="J155" s="66">
        <v>0</v>
      </c>
      <c r="K155" s="66">
        <v>0</v>
      </c>
      <c r="L155" s="66">
        <v>12</v>
      </c>
      <c r="M155" s="66">
        <v>3</v>
      </c>
      <c r="N155" s="66">
        <v>3</v>
      </c>
      <c r="O155" s="75">
        <v>1.5</v>
      </c>
    </row>
    <row r="156" spans="1:16" ht="15.75" x14ac:dyDescent="0.25">
      <c r="A156" s="65"/>
      <c r="B156" s="76" t="s">
        <v>173</v>
      </c>
      <c r="C156" s="74">
        <v>20</v>
      </c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5"/>
    </row>
    <row r="157" spans="1:16" ht="15.75" x14ac:dyDescent="0.25">
      <c r="A157" s="65"/>
      <c r="B157" s="76" t="s">
        <v>130</v>
      </c>
      <c r="C157" s="74">
        <v>10</v>
      </c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75"/>
    </row>
    <row r="158" spans="1:16" s="10" customFormat="1" ht="15.75" x14ac:dyDescent="0.25">
      <c r="A158" s="26"/>
      <c r="B158" s="70" t="s">
        <v>354</v>
      </c>
      <c r="C158" s="71"/>
      <c r="D158" s="72">
        <f>D159+D166+D173+D182+D185+D188+D189</f>
        <v>36.757999999999996</v>
      </c>
      <c r="E158" s="72">
        <f>E159+E166+E173+E182+E185+E188+E189</f>
        <v>34.898000000000003</v>
      </c>
      <c r="F158" s="72">
        <f t="shared" ref="F158:O158" si="7">F159+F166+F173+F182+F185+F188+F189</f>
        <v>104.39</v>
      </c>
      <c r="G158" s="72">
        <f t="shared" si="7"/>
        <v>880.33999999999992</v>
      </c>
      <c r="H158" s="72">
        <f t="shared" si="7"/>
        <v>0.52100000000000002</v>
      </c>
      <c r="I158" s="72">
        <f t="shared" si="7"/>
        <v>16.200000000000003</v>
      </c>
      <c r="J158" s="72">
        <f t="shared" si="7"/>
        <v>163.06</v>
      </c>
      <c r="K158" s="72">
        <f t="shared" si="7"/>
        <v>5.89</v>
      </c>
      <c r="L158" s="72">
        <f t="shared" si="7"/>
        <v>164.11199999999999</v>
      </c>
      <c r="M158" s="72">
        <f t="shared" si="7"/>
        <v>459.78200000000004</v>
      </c>
      <c r="N158" s="72">
        <f t="shared" si="7"/>
        <v>129.108</v>
      </c>
      <c r="O158" s="72">
        <f t="shared" si="7"/>
        <v>8.5902000000000012</v>
      </c>
      <c r="P158" s="6"/>
    </row>
    <row r="159" spans="1:16" s="11" customFormat="1" ht="15.75" x14ac:dyDescent="0.25">
      <c r="A159" s="65">
        <v>2</v>
      </c>
      <c r="B159" s="73" t="s">
        <v>174</v>
      </c>
      <c r="C159" s="74" t="s">
        <v>137</v>
      </c>
      <c r="D159" s="66">
        <v>1.3</v>
      </c>
      <c r="E159" s="66">
        <v>6.2</v>
      </c>
      <c r="F159" s="66">
        <v>6.1</v>
      </c>
      <c r="G159" s="66">
        <v>85</v>
      </c>
      <c r="H159" s="66">
        <v>0.04</v>
      </c>
      <c r="I159" s="66">
        <v>13.3</v>
      </c>
      <c r="J159" s="66">
        <v>0</v>
      </c>
      <c r="K159" s="66">
        <v>2.9</v>
      </c>
      <c r="L159" s="66">
        <v>35.5</v>
      </c>
      <c r="M159" s="66">
        <v>32.6</v>
      </c>
      <c r="N159" s="66">
        <v>20.5</v>
      </c>
      <c r="O159" s="75">
        <v>1.02</v>
      </c>
    </row>
    <row r="160" spans="1:16" ht="15.75" x14ac:dyDescent="0.25">
      <c r="A160" s="65"/>
      <c r="B160" s="76" t="s">
        <v>161</v>
      </c>
      <c r="C160" s="74">
        <v>24.6</v>
      </c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75"/>
    </row>
    <row r="161" spans="1:15" ht="15.75" x14ac:dyDescent="0.25">
      <c r="A161" s="65"/>
      <c r="B161" s="76" t="s">
        <v>168</v>
      </c>
      <c r="C161" s="74">
        <v>0.25</v>
      </c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75"/>
    </row>
    <row r="162" spans="1:15" ht="15.75" x14ac:dyDescent="0.25">
      <c r="A162" s="65"/>
      <c r="B162" s="76" t="s">
        <v>142</v>
      </c>
      <c r="C162" s="74">
        <v>27.3</v>
      </c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75"/>
    </row>
    <row r="163" spans="1:15" ht="15.75" x14ac:dyDescent="0.25">
      <c r="A163" s="65"/>
      <c r="B163" s="76" t="s">
        <v>143</v>
      </c>
      <c r="C163" s="74">
        <v>50.4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75"/>
    </row>
    <row r="164" spans="1:15" ht="15.75" x14ac:dyDescent="0.25">
      <c r="A164" s="65"/>
      <c r="B164" s="76" t="s">
        <v>147</v>
      </c>
      <c r="C164" s="74">
        <v>5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75"/>
    </row>
    <row r="165" spans="1:15" ht="15.75" x14ac:dyDescent="0.25">
      <c r="A165" s="65"/>
      <c r="B165" s="76" t="s">
        <v>146</v>
      </c>
      <c r="C165" s="74">
        <v>6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75"/>
    </row>
    <row r="166" spans="1:15" s="11" customFormat="1" ht="15.75" x14ac:dyDescent="0.25">
      <c r="A166" s="65">
        <v>128</v>
      </c>
      <c r="B166" s="73" t="s">
        <v>285</v>
      </c>
      <c r="C166" s="74">
        <v>250</v>
      </c>
      <c r="D166" s="66">
        <v>7.47</v>
      </c>
      <c r="E166" s="66">
        <v>3.67</v>
      </c>
      <c r="F166" s="66">
        <v>16.2</v>
      </c>
      <c r="G166" s="66">
        <v>127.7</v>
      </c>
      <c r="H166" s="66">
        <v>0.26</v>
      </c>
      <c r="I166" s="66">
        <v>0.5</v>
      </c>
      <c r="J166" s="66">
        <v>20</v>
      </c>
      <c r="K166" s="66">
        <v>0.3</v>
      </c>
      <c r="L166" s="66">
        <v>46.75</v>
      </c>
      <c r="M166" s="66">
        <v>94.8</v>
      </c>
      <c r="N166" s="66">
        <v>36.75</v>
      </c>
      <c r="O166" s="75">
        <v>2.61</v>
      </c>
    </row>
    <row r="167" spans="1:15" ht="15.75" x14ac:dyDescent="0.25">
      <c r="A167" s="65"/>
      <c r="B167" s="76" t="s">
        <v>131</v>
      </c>
      <c r="C167" s="74">
        <v>5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75"/>
    </row>
    <row r="168" spans="1:15" ht="15.75" x14ac:dyDescent="0.25">
      <c r="A168" s="65"/>
      <c r="B168" s="76" t="s">
        <v>141</v>
      </c>
      <c r="C168" s="74">
        <v>10.7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75"/>
    </row>
    <row r="169" spans="1:15" ht="15.75" x14ac:dyDescent="0.25">
      <c r="A169" s="65"/>
      <c r="B169" s="76" t="s">
        <v>142</v>
      </c>
      <c r="C169" s="74">
        <v>9.75</v>
      </c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75"/>
    </row>
    <row r="170" spans="1:15" ht="15.75" x14ac:dyDescent="0.25">
      <c r="A170" s="65"/>
      <c r="B170" s="76" t="s">
        <v>175</v>
      </c>
      <c r="C170" s="74">
        <v>35.049999999999997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75"/>
    </row>
    <row r="171" spans="1:15" ht="15.75" x14ac:dyDescent="0.25">
      <c r="A171" s="65"/>
      <c r="B171" s="76" t="s">
        <v>168</v>
      </c>
      <c r="C171" s="74">
        <f>8/1000*250</f>
        <v>2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75"/>
    </row>
    <row r="172" spans="1:15" ht="15.75" x14ac:dyDescent="0.25">
      <c r="A172" s="65"/>
      <c r="B172" s="76" t="s">
        <v>144</v>
      </c>
      <c r="C172" s="74">
        <v>2.42</v>
      </c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75"/>
    </row>
    <row r="173" spans="1:15" s="11" customFormat="1" ht="15.75" x14ac:dyDescent="0.25">
      <c r="A173" s="65">
        <v>367</v>
      </c>
      <c r="B173" s="73" t="s">
        <v>37</v>
      </c>
      <c r="C173" s="74" t="s">
        <v>157</v>
      </c>
      <c r="D173" s="66">
        <v>16.899999999999999</v>
      </c>
      <c r="E173" s="66">
        <v>18.3</v>
      </c>
      <c r="F173" s="66">
        <v>3.8</v>
      </c>
      <c r="G173" s="66">
        <v>247</v>
      </c>
      <c r="H173" s="66">
        <v>0.04</v>
      </c>
      <c r="I173" s="66">
        <v>1.3</v>
      </c>
      <c r="J173" s="66">
        <v>115.7</v>
      </c>
      <c r="K173" s="66">
        <v>0.7</v>
      </c>
      <c r="L173" s="66">
        <v>29.6</v>
      </c>
      <c r="M173" s="66">
        <v>83</v>
      </c>
      <c r="N173" s="66">
        <v>21.7</v>
      </c>
      <c r="O173" s="75">
        <v>1.52</v>
      </c>
    </row>
    <row r="174" spans="1:15" ht="15.75" x14ac:dyDescent="0.25">
      <c r="A174" s="65"/>
      <c r="B174" s="76" t="s">
        <v>325</v>
      </c>
      <c r="C174" s="74">
        <v>70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75"/>
    </row>
    <row r="175" spans="1:15" ht="15.75" x14ac:dyDescent="0.25">
      <c r="A175" s="65"/>
      <c r="B175" s="76" t="s">
        <v>139</v>
      </c>
      <c r="C175" s="74">
        <v>9.3000000000000007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75"/>
    </row>
    <row r="176" spans="1:15" ht="15.75" x14ac:dyDescent="0.25">
      <c r="A176" s="65"/>
      <c r="B176" s="76" t="s">
        <v>131</v>
      </c>
      <c r="C176" s="74">
        <v>9</v>
      </c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75"/>
    </row>
    <row r="177" spans="1:16" ht="15.75" x14ac:dyDescent="0.25">
      <c r="A177" s="65"/>
      <c r="B177" s="76" t="s">
        <v>140</v>
      </c>
      <c r="C177" s="74">
        <v>5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75"/>
    </row>
    <row r="178" spans="1:16" ht="15.75" x14ac:dyDescent="0.25">
      <c r="A178" s="65"/>
      <c r="B178" s="76" t="s">
        <v>168</v>
      </c>
      <c r="C178" s="74">
        <v>0.6</v>
      </c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75"/>
    </row>
    <row r="179" spans="1:16" ht="15.75" x14ac:dyDescent="0.25">
      <c r="A179" s="65"/>
      <c r="B179" s="76" t="s">
        <v>159</v>
      </c>
      <c r="C179" s="74">
        <v>1.9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75"/>
    </row>
    <row r="180" spans="1:16" ht="15.75" x14ac:dyDescent="0.25">
      <c r="A180" s="65"/>
      <c r="B180" s="76" t="s">
        <v>141</v>
      </c>
      <c r="C180" s="74">
        <v>7.8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75"/>
    </row>
    <row r="181" spans="1:16" ht="15.75" x14ac:dyDescent="0.25">
      <c r="A181" s="65"/>
      <c r="B181" s="76" t="s">
        <v>142</v>
      </c>
      <c r="C181" s="74">
        <v>7.2</v>
      </c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75"/>
    </row>
    <row r="182" spans="1:16" s="11" customFormat="1" ht="15.75" x14ac:dyDescent="0.25">
      <c r="A182" s="65">
        <v>207</v>
      </c>
      <c r="B182" s="73" t="s">
        <v>38</v>
      </c>
      <c r="C182" s="74">
        <v>180</v>
      </c>
      <c r="D182" s="66">
        <f>21.6/1000*180</f>
        <v>3.8880000000000003</v>
      </c>
      <c r="E182" s="66">
        <f>31.6/1000*180</f>
        <v>5.6880000000000006</v>
      </c>
      <c r="F182" s="66">
        <f>150.5/1000*180</f>
        <v>27.09</v>
      </c>
      <c r="G182" s="66">
        <f>0.973*180</f>
        <v>175.14</v>
      </c>
      <c r="H182" s="66">
        <f>0.2/1000*180</f>
        <v>3.6000000000000004E-2</v>
      </c>
      <c r="I182" s="66">
        <v>0</v>
      </c>
      <c r="J182" s="66">
        <f>0.152*180</f>
        <v>27.36</v>
      </c>
      <c r="K182" s="66">
        <f>0.003*180</f>
        <v>0.54</v>
      </c>
      <c r="L182" s="66">
        <f>120.9/1000*180</f>
        <v>21.762</v>
      </c>
      <c r="M182" s="66">
        <f>754.9/1000*180</f>
        <v>135.88200000000001</v>
      </c>
      <c r="N182" s="66">
        <f>93.1/1000*180</f>
        <v>16.757999999999999</v>
      </c>
      <c r="O182" s="75">
        <f>4.39/1000*180</f>
        <v>0.79020000000000001</v>
      </c>
    </row>
    <row r="183" spans="1:16" ht="15.75" x14ac:dyDescent="0.25">
      <c r="A183" s="65"/>
      <c r="B183" s="76" t="s">
        <v>176</v>
      </c>
      <c r="C183" s="74">
        <v>42.04</v>
      </c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75"/>
    </row>
    <row r="184" spans="1:16" ht="15.75" x14ac:dyDescent="0.25">
      <c r="A184" s="65"/>
      <c r="B184" s="76" t="s">
        <v>131</v>
      </c>
      <c r="C184" s="74">
        <f>50/1000*180</f>
        <v>9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75"/>
    </row>
    <row r="185" spans="1:16" s="11" customFormat="1" ht="15.75" x14ac:dyDescent="0.25">
      <c r="A185" s="65">
        <v>486</v>
      </c>
      <c r="B185" s="73" t="s">
        <v>41</v>
      </c>
      <c r="C185" s="74" t="s">
        <v>135</v>
      </c>
      <c r="D185" s="66">
        <v>0.1</v>
      </c>
      <c r="E185" s="66">
        <v>0.04</v>
      </c>
      <c r="F185" s="66">
        <v>9.9</v>
      </c>
      <c r="G185" s="66">
        <v>41</v>
      </c>
      <c r="H185" s="66">
        <v>0</v>
      </c>
      <c r="I185" s="66">
        <v>1.1000000000000001</v>
      </c>
      <c r="J185" s="66">
        <v>0</v>
      </c>
      <c r="K185" s="66">
        <v>0.2</v>
      </c>
      <c r="L185" s="66">
        <v>3</v>
      </c>
      <c r="M185" s="66">
        <v>2</v>
      </c>
      <c r="N185" s="66">
        <v>2.9</v>
      </c>
      <c r="O185" s="75">
        <v>0.15</v>
      </c>
    </row>
    <row r="186" spans="1:16" ht="15.75" x14ac:dyDescent="0.25">
      <c r="A186" s="65"/>
      <c r="B186" s="76" t="s">
        <v>130</v>
      </c>
      <c r="C186" s="74">
        <v>10</v>
      </c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75"/>
    </row>
    <row r="187" spans="1:16" ht="15.75" x14ac:dyDescent="0.25">
      <c r="A187" s="65"/>
      <c r="B187" s="76" t="s">
        <v>42</v>
      </c>
      <c r="C187" s="74">
        <v>22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75"/>
    </row>
    <row r="188" spans="1:16" s="11" customFormat="1" ht="15.75" x14ac:dyDescent="0.25">
      <c r="A188" s="65"/>
      <c r="B188" s="73" t="s">
        <v>51</v>
      </c>
      <c r="C188" s="74">
        <v>40</v>
      </c>
      <c r="D188" s="66">
        <v>3.8</v>
      </c>
      <c r="E188" s="66">
        <v>0.4</v>
      </c>
      <c r="F188" s="66">
        <v>24.6</v>
      </c>
      <c r="G188" s="66">
        <v>117.5</v>
      </c>
      <c r="H188" s="66">
        <v>5.5E-2</v>
      </c>
      <c r="I188" s="66">
        <v>0</v>
      </c>
      <c r="J188" s="66">
        <v>0</v>
      </c>
      <c r="K188" s="66">
        <v>0.55000000000000004</v>
      </c>
      <c r="L188" s="66">
        <v>10</v>
      </c>
      <c r="M188" s="66">
        <v>32.5</v>
      </c>
      <c r="N188" s="66">
        <v>7</v>
      </c>
      <c r="O188" s="75">
        <v>0.55000000000000004</v>
      </c>
    </row>
    <row r="189" spans="1:16" s="11" customFormat="1" ht="15.75" x14ac:dyDescent="0.25">
      <c r="A189" s="65"/>
      <c r="B189" s="73" t="s">
        <v>32</v>
      </c>
      <c r="C189" s="74">
        <v>40</v>
      </c>
      <c r="D189" s="66">
        <v>3.3</v>
      </c>
      <c r="E189" s="66">
        <v>0.6</v>
      </c>
      <c r="F189" s="66">
        <v>16.7</v>
      </c>
      <c r="G189" s="66">
        <v>87</v>
      </c>
      <c r="H189" s="66">
        <v>0.09</v>
      </c>
      <c r="I189" s="66">
        <v>0</v>
      </c>
      <c r="J189" s="66">
        <v>0</v>
      </c>
      <c r="K189" s="66">
        <v>0.7</v>
      </c>
      <c r="L189" s="66">
        <v>17.5</v>
      </c>
      <c r="M189" s="66">
        <v>79</v>
      </c>
      <c r="N189" s="66">
        <v>23.5</v>
      </c>
      <c r="O189" s="75">
        <v>1.95</v>
      </c>
    </row>
    <row r="190" spans="1:16" s="10" customFormat="1" ht="15.75" x14ac:dyDescent="0.25">
      <c r="A190" s="26"/>
      <c r="B190" s="73" t="s">
        <v>349</v>
      </c>
      <c r="C190" s="71"/>
      <c r="D190" s="72">
        <f>D191+D192</f>
        <v>5</v>
      </c>
      <c r="E190" s="72">
        <f t="shared" ref="E190:O190" si="8">E191+E192</f>
        <v>6.7</v>
      </c>
      <c r="F190" s="72">
        <f t="shared" si="8"/>
        <v>22.4</v>
      </c>
      <c r="G190" s="72">
        <f t="shared" si="8"/>
        <v>473</v>
      </c>
      <c r="H190" s="72">
        <f t="shared" si="8"/>
        <v>0.02</v>
      </c>
      <c r="I190" s="72">
        <f t="shared" si="8"/>
        <v>4</v>
      </c>
      <c r="J190" s="72">
        <f t="shared" si="8"/>
        <v>0</v>
      </c>
      <c r="K190" s="72">
        <f t="shared" si="8"/>
        <v>0</v>
      </c>
      <c r="L190" s="72">
        <f t="shared" si="8"/>
        <v>14</v>
      </c>
      <c r="M190" s="72">
        <f t="shared" si="8"/>
        <v>0</v>
      </c>
      <c r="N190" s="72">
        <f t="shared" si="8"/>
        <v>0</v>
      </c>
      <c r="O190" s="72">
        <f t="shared" si="8"/>
        <v>2.8</v>
      </c>
      <c r="P190" s="6"/>
    </row>
    <row r="191" spans="1:16" s="11" customFormat="1" ht="15.75" x14ac:dyDescent="0.25">
      <c r="A191" s="65"/>
      <c r="B191" s="73" t="s">
        <v>284</v>
      </c>
      <c r="C191" s="74">
        <v>100</v>
      </c>
      <c r="D191" s="66">
        <v>4</v>
      </c>
      <c r="E191" s="66">
        <v>6.5</v>
      </c>
      <c r="F191" s="66">
        <v>22.2</v>
      </c>
      <c r="G191" s="66">
        <v>381</v>
      </c>
      <c r="H191" s="66"/>
      <c r="I191" s="66"/>
      <c r="J191" s="66"/>
      <c r="K191" s="66"/>
      <c r="L191" s="66"/>
      <c r="M191" s="66"/>
      <c r="N191" s="66"/>
      <c r="O191" s="75"/>
    </row>
    <row r="192" spans="1:16" s="11" customFormat="1" ht="15.75" x14ac:dyDescent="0.25">
      <c r="A192" s="65"/>
      <c r="B192" s="73" t="s">
        <v>177</v>
      </c>
      <c r="C192" s="74" t="s">
        <v>135</v>
      </c>
      <c r="D192" s="66">
        <v>1</v>
      </c>
      <c r="E192" s="66">
        <v>0.2</v>
      </c>
      <c r="F192" s="66">
        <v>0.2</v>
      </c>
      <c r="G192" s="66">
        <v>92</v>
      </c>
      <c r="H192" s="66">
        <v>0.02</v>
      </c>
      <c r="I192" s="66">
        <v>4</v>
      </c>
      <c r="J192" s="66">
        <v>0</v>
      </c>
      <c r="K192" s="66">
        <v>0</v>
      </c>
      <c r="L192" s="66">
        <v>14</v>
      </c>
      <c r="M192" s="66">
        <v>0</v>
      </c>
      <c r="N192" s="66">
        <v>0</v>
      </c>
      <c r="O192" s="75">
        <v>2.8</v>
      </c>
    </row>
    <row r="193" spans="1:16" ht="16.5" thickBot="1" x14ac:dyDescent="0.3">
      <c r="A193" s="80"/>
      <c r="B193" s="81" t="s">
        <v>178</v>
      </c>
      <c r="C193" s="74" t="s">
        <v>135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75"/>
    </row>
    <row r="194" spans="1:16" s="14" customFormat="1" ht="16.5" thickBot="1" x14ac:dyDescent="0.3">
      <c r="A194" s="12"/>
      <c r="B194" s="77" t="s">
        <v>29</v>
      </c>
      <c r="C194" s="78"/>
      <c r="D194" s="79">
        <f t="shared" ref="D194:O194" si="9">D107+D129+D158+D190</f>
        <v>100.75054545454545</v>
      </c>
      <c r="E194" s="79">
        <f t="shared" si="9"/>
        <v>90.658545454545461</v>
      </c>
      <c r="F194" s="79">
        <f t="shared" si="9"/>
        <v>328.48909090909086</v>
      </c>
      <c r="G194" s="79">
        <f t="shared" si="9"/>
        <v>2842.3318181818177</v>
      </c>
      <c r="H194" s="79">
        <f t="shared" si="9"/>
        <v>1.1628909090909092</v>
      </c>
      <c r="I194" s="79">
        <f t="shared" si="9"/>
        <v>120.58681818181819</v>
      </c>
      <c r="J194" s="79">
        <f t="shared" si="9"/>
        <v>221.32</v>
      </c>
      <c r="K194" s="79">
        <f t="shared" si="9"/>
        <v>19.251545454545454</v>
      </c>
      <c r="L194" s="79">
        <f t="shared" si="9"/>
        <v>405.67109090909094</v>
      </c>
      <c r="M194" s="79">
        <f t="shared" si="9"/>
        <v>1309.8374545454544</v>
      </c>
      <c r="N194" s="79">
        <f t="shared" si="9"/>
        <v>361.55981818181817</v>
      </c>
      <c r="O194" s="79">
        <f t="shared" si="9"/>
        <v>24.946545454545454</v>
      </c>
      <c r="P194" s="13"/>
    </row>
    <row r="195" spans="1:16" s="1" customFormat="1" x14ac:dyDescent="0.25">
      <c r="A195" s="15"/>
      <c r="B195" s="16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6" s="1" customFormat="1" ht="18.75" x14ac:dyDescent="0.25">
      <c r="A196" s="2"/>
      <c r="B196" s="17" t="s">
        <v>249</v>
      </c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6" x14ac:dyDescent="0.2">
      <c r="A197" s="101"/>
      <c r="B197" s="102" t="s">
        <v>116</v>
      </c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6" ht="15.75" thickBot="1" x14ac:dyDescent="0.25">
      <c r="A198" s="101"/>
      <c r="B198" s="102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6" s="8" customFormat="1" ht="16.5" thickBot="1" x14ac:dyDescent="0.3">
      <c r="A199" s="103" t="s">
        <v>5</v>
      </c>
      <c r="B199" s="104" t="s">
        <v>117</v>
      </c>
      <c r="C199" s="105" t="s">
        <v>118</v>
      </c>
      <c r="D199" s="106" t="s">
        <v>3</v>
      </c>
      <c r="E199" s="106"/>
      <c r="F199" s="106"/>
      <c r="G199" s="106" t="s">
        <v>119</v>
      </c>
      <c r="H199" s="106" t="s">
        <v>1</v>
      </c>
      <c r="I199" s="106"/>
      <c r="J199" s="106"/>
      <c r="K199" s="106"/>
      <c r="L199" s="108" t="s">
        <v>2</v>
      </c>
      <c r="M199" s="108"/>
      <c r="N199" s="108"/>
      <c r="O199" s="108"/>
      <c r="P199" s="7"/>
    </row>
    <row r="200" spans="1:16" s="9" customFormat="1" ht="31.5" x14ac:dyDescent="0.25">
      <c r="A200" s="103"/>
      <c r="B200" s="104"/>
      <c r="C200" s="105"/>
      <c r="D200" s="63" t="s">
        <v>120</v>
      </c>
      <c r="E200" s="63" t="s">
        <v>121</v>
      </c>
      <c r="F200" s="63" t="s">
        <v>122</v>
      </c>
      <c r="G200" s="106"/>
      <c r="H200" s="63" t="s">
        <v>123</v>
      </c>
      <c r="I200" s="63" t="s">
        <v>124</v>
      </c>
      <c r="J200" s="63" t="s">
        <v>125</v>
      </c>
      <c r="K200" s="63" t="s">
        <v>126</v>
      </c>
      <c r="L200" s="63" t="s">
        <v>127</v>
      </c>
      <c r="M200" s="63" t="s">
        <v>128</v>
      </c>
      <c r="N200" s="63" t="s">
        <v>0</v>
      </c>
      <c r="O200" s="64" t="s">
        <v>4</v>
      </c>
      <c r="P200" s="1"/>
    </row>
    <row r="201" spans="1:16" s="10" customFormat="1" ht="15.75" x14ac:dyDescent="0.25">
      <c r="A201" s="26"/>
      <c r="B201" s="73" t="s">
        <v>369</v>
      </c>
      <c r="C201" s="71"/>
      <c r="D201" s="72">
        <f>D202+D205+D215+D219+D223+D224</f>
        <v>55.543333333333322</v>
      </c>
      <c r="E201" s="72">
        <f t="shared" ref="E201:O201" si="10">E202+E205+E215+E219+E223+E224</f>
        <v>19.971666666666664</v>
      </c>
      <c r="F201" s="72">
        <f t="shared" si="10"/>
        <v>98.523333333333326</v>
      </c>
      <c r="G201" s="72">
        <f t="shared" si="10"/>
        <v>796.11333333333403</v>
      </c>
      <c r="H201" s="72">
        <f t="shared" si="10"/>
        <v>0.34499999999999997</v>
      </c>
      <c r="I201" s="72">
        <f t="shared" si="10"/>
        <v>1.603</v>
      </c>
      <c r="J201" s="72">
        <f t="shared" si="10"/>
        <v>130.5</v>
      </c>
      <c r="K201" s="72">
        <f t="shared" si="10"/>
        <v>1.821</v>
      </c>
      <c r="L201" s="72">
        <f t="shared" si="10"/>
        <v>591.76333333333332</v>
      </c>
      <c r="M201" s="72">
        <f t="shared" si="10"/>
        <v>722.09666666666669</v>
      </c>
      <c r="N201" s="72">
        <f t="shared" si="10"/>
        <v>110.01</v>
      </c>
      <c r="O201" s="72">
        <f t="shared" si="10"/>
        <v>4.8009000000000004</v>
      </c>
      <c r="P201" s="6"/>
    </row>
    <row r="202" spans="1:16" s="11" customFormat="1" ht="15.75" x14ac:dyDescent="0.25">
      <c r="A202" s="65">
        <v>69</v>
      </c>
      <c r="B202" s="73" t="s">
        <v>179</v>
      </c>
      <c r="C202" s="74">
        <v>35</v>
      </c>
      <c r="D202" s="66">
        <v>3</v>
      </c>
      <c r="E202" s="66">
        <v>3.8</v>
      </c>
      <c r="F202" s="66">
        <v>4.9000000000000004</v>
      </c>
      <c r="G202" s="66">
        <v>65</v>
      </c>
      <c r="H202" s="66">
        <v>0.01</v>
      </c>
      <c r="I202" s="66">
        <v>0.1</v>
      </c>
      <c r="J202" s="66">
        <v>25.5</v>
      </c>
      <c r="K202" s="66">
        <v>0.16</v>
      </c>
      <c r="L202" s="66">
        <v>86</v>
      </c>
      <c r="M202" s="66">
        <v>57.2</v>
      </c>
      <c r="N202" s="66">
        <v>6</v>
      </c>
      <c r="O202" s="75">
        <v>0.17</v>
      </c>
    </row>
    <row r="203" spans="1:16" ht="15.75" x14ac:dyDescent="0.25">
      <c r="A203" s="65"/>
      <c r="B203" s="76" t="s">
        <v>131</v>
      </c>
      <c r="C203" s="74">
        <v>15</v>
      </c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75"/>
    </row>
    <row r="204" spans="1:16" ht="15.75" x14ac:dyDescent="0.25">
      <c r="A204" s="65"/>
      <c r="B204" s="76" t="s">
        <v>51</v>
      </c>
      <c r="C204" s="74">
        <v>20</v>
      </c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75"/>
    </row>
    <row r="205" spans="1:16" s="11" customFormat="1" ht="15.75" x14ac:dyDescent="0.25">
      <c r="A205" s="65">
        <v>279</v>
      </c>
      <c r="B205" s="73" t="s">
        <v>43</v>
      </c>
      <c r="C205" s="74" t="s">
        <v>135</v>
      </c>
      <c r="D205" s="66">
        <f>31.6/150*200</f>
        <v>42.133333333333333</v>
      </c>
      <c r="E205" s="66">
        <f>9.2/150*200</f>
        <v>12.266666666666666</v>
      </c>
      <c r="F205" s="66">
        <f>25.3/150*200</f>
        <v>33.733333333333334</v>
      </c>
      <c r="G205" s="66">
        <f>2.06666666666667*200</f>
        <v>413.333333333334</v>
      </c>
      <c r="H205" s="66">
        <f>0.12/150*200</f>
        <v>0.15999999999999998</v>
      </c>
      <c r="I205" s="66">
        <f>0.6/150*200</f>
        <v>0.8</v>
      </c>
      <c r="J205" s="66">
        <f>64.5/150*200</f>
        <v>86</v>
      </c>
      <c r="K205" s="66">
        <f>0.3/150*200</f>
        <v>0.4</v>
      </c>
      <c r="L205" s="66">
        <f>275.2/150*200</f>
        <v>366.93333333333334</v>
      </c>
      <c r="M205" s="66">
        <f>346.7/150*200</f>
        <v>462.26666666666665</v>
      </c>
      <c r="N205" s="66">
        <f>38.4/150*200</f>
        <v>51.2</v>
      </c>
      <c r="O205" s="75">
        <f>1.11/150*200</f>
        <v>1.48</v>
      </c>
    </row>
    <row r="206" spans="1:16" ht="15.75" x14ac:dyDescent="0.25">
      <c r="A206" s="65"/>
      <c r="B206" s="76" t="s">
        <v>181</v>
      </c>
      <c r="C206" s="74">
        <v>13.33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75"/>
    </row>
    <row r="207" spans="1:16" ht="15.75" x14ac:dyDescent="0.25">
      <c r="A207" s="65"/>
      <c r="B207" s="76" t="s">
        <v>182</v>
      </c>
      <c r="C207" s="74">
        <v>6.6</v>
      </c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75"/>
    </row>
    <row r="208" spans="1:16" ht="15.75" x14ac:dyDescent="0.25">
      <c r="A208" s="65"/>
      <c r="B208" s="76" t="s">
        <v>130</v>
      </c>
      <c r="C208" s="74">
        <v>13.33</v>
      </c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75"/>
    </row>
    <row r="209" spans="1:15" ht="15.75" x14ac:dyDescent="0.25">
      <c r="A209" s="65"/>
      <c r="B209" s="76" t="s">
        <v>146</v>
      </c>
      <c r="C209" s="74">
        <v>2.66</v>
      </c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75"/>
    </row>
    <row r="210" spans="1:15" ht="15.75" x14ac:dyDescent="0.25">
      <c r="A210" s="65"/>
      <c r="B210" s="76" t="s">
        <v>183</v>
      </c>
      <c r="C210" s="74">
        <v>186.66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75"/>
    </row>
    <row r="211" spans="1:15" ht="15.75" x14ac:dyDescent="0.25">
      <c r="A211" s="65"/>
      <c r="B211" s="76" t="s">
        <v>140</v>
      </c>
      <c r="C211" s="74">
        <v>6.6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75"/>
    </row>
    <row r="212" spans="1:15" ht="15.75" x14ac:dyDescent="0.25">
      <c r="A212" s="65"/>
      <c r="B212" s="76" t="s">
        <v>184</v>
      </c>
      <c r="C212" s="74">
        <f>0.015/150*200</f>
        <v>1.9999999999999997E-2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75"/>
    </row>
    <row r="213" spans="1:15" ht="15.75" x14ac:dyDescent="0.25">
      <c r="A213" s="65"/>
      <c r="B213" s="76" t="s">
        <v>185</v>
      </c>
      <c r="C213" s="74">
        <v>5.33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75"/>
    </row>
    <row r="214" spans="1:15" ht="31.5" x14ac:dyDescent="0.25">
      <c r="A214" s="65"/>
      <c r="B214" s="76" t="s">
        <v>133</v>
      </c>
      <c r="C214" s="74">
        <v>2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75"/>
    </row>
    <row r="215" spans="1:15" s="11" customFormat="1" ht="15.75" x14ac:dyDescent="0.25">
      <c r="A215" s="65">
        <v>435</v>
      </c>
      <c r="B215" s="73" t="s">
        <v>45</v>
      </c>
      <c r="C215" s="74">
        <v>35</v>
      </c>
      <c r="D215" s="66">
        <v>0.01</v>
      </c>
      <c r="E215" s="66">
        <v>5.0000000000000001E-3</v>
      </c>
      <c r="F215" s="66">
        <v>4.79</v>
      </c>
      <c r="G215" s="66">
        <v>19.28</v>
      </c>
      <c r="H215" s="66">
        <v>0</v>
      </c>
      <c r="I215" s="66">
        <v>3.0000000000000001E-3</v>
      </c>
      <c r="J215" s="66">
        <v>0</v>
      </c>
      <c r="K215" s="66">
        <v>1E-3</v>
      </c>
      <c r="L215" s="66">
        <v>0.03</v>
      </c>
      <c r="M215" s="66">
        <v>0.03</v>
      </c>
      <c r="N215" s="66">
        <v>0.01</v>
      </c>
      <c r="O215" s="75">
        <v>8.9999999999999998E-4</v>
      </c>
    </row>
    <row r="216" spans="1:15" ht="15.75" x14ac:dyDescent="0.25">
      <c r="A216" s="65"/>
      <c r="B216" s="76" t="s">
        <v>130</v>
      </c>
      <c r="C216" s="74">
        <v>4.2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75"/>
    </row>
    <row r="217" spans="1:15" ht="15.75" x14ac:dyDescent="0.25">
      <c r="A217" s="65"/>
      <c r="B217" s="76" t="s">
        <v>186</v>
      </c>
      <c r="C217" s="74">
        <v>1.05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75"/>
    </row>
    <row r="218" spans="1:15" ht="15.75" x14ac:dyDescent="0.25">
      <c r="A218" s="65"/>
      <c r="B218" s="76" t="s">
        <v>187</v>
      </c>
      <c r="C218" s="74">
        <v>4</v>
      </c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75"/>
    </row>
    <row r="219" spans="1:15" s="11" customFormat="1" ht="15.75" x14ac:dyDescent="0.25">
      <c r="A219" s="65">
        <v>462</v>
      </c>
      <c r="B219" s="73" t="s">
        <v>46</v>
      </c>
      <c r="C219" s="74" t="s">
        <v>135</v>
      </c>
      <c r="D219" s="66">
        <v>3.3</v>
      </c>
      <c r="E219" s="66">
        <v>2.9</v>
      </c>
      <c r="F219" s="66">
        <v>13.8</v>
      </c>
      <c r="G219" s="66">
        <v>94</v>
      </c>
      <c r="H219" s="66">
        <v>0.03</v>
      </c>
      <c r="I219" s="66">
        <v>0.7</v>
      </c>
      <c r="J219" s="66">
        <v>19</v>
      </c>
      <c r="K219" s="66">
        <v>0.01</v>
      </c>
      <c r="L219" s="66">
        <v>111.3</v>
      </c>
      <c r="M219" s="66">
        <v>91.1</v>
      </c>
      <c r="N219" s="66">
        <v>22.3</v>
      </c>
      <c r="O219" s="75">
        <v>0.65</v>
      </c>
    </row>
    <row r="220" spans="1:15" ht="15.75" x14ac:dyDescent="0.25">
      <c r="A220" s="65"/>
      <c r="B220" s="76" t="s">
        <v>130</v>
      </c>
      <c r="C220" s="74">
        <v>10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75"/>
    </row>
    <row r="221" spans="1:15" ht="15.75" x14ac:dyDescent="0.25">
      <c r="A221" s="65"/>
      <c r="B221" s="76" t="s">
        <v>188</v>
      </c>
      <c r="C221" s="74">
        <v>2.4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75"/>
    </row>
    <row r="222" spans="1:15" ht="15.75" x14ac:dyDescent="0.25">
      <c r="A222" s="65"/>
      <c r="B222" s="76" t="s">
        <v>134</v>
      </c>
      <c r="C222" s="74">
        <v>100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75"/>
    </row>
    <row r="223" spans="1:15" s="11" customFormat="1" ht="15.75" x14ac:dyDescent="0.25">
      <c r="A223" s="65"/>
      <c r="B223" s="73" t="s">
        <v>51</v>
      </c>
      <c r="C223" s="74">
        <v>40</v>
      </c>
      <c r="D223" s="66">
        <v>3.8</v>
      </c>
      <c r="E223" s="66">
        <v>0.4</v>
      </c>
      <c r="F223" s="66">
        <v>24.6</v>
      </c>
      <c r="G223" s="66">
        <v>117.5</v>
      </c>
      <c r="H223" s="66">
        <v>5.5E-2</v>
      </c>
      <c r="I223" s="66">
        <v>0</v>
      </c>
      <c r="J223" s="66">
        <v>0</v>
      </c>
      <c r="K223" s="66">
        <v>0.55000000000000004</v>
      </c>
      <c r="L223" s="66">
        <v>10</v>
      </c>
      <c r="M223" s="66">
        <v>32.5</v>
      </c>
      <c r="N223" s="66">
        <v>7</v>
      </c>
      <c r="O223" s="75">
        <v>0.55000000000000004</v>
      </c>
    </row>
    <row r="224" spans="1:15" s="11" customFormat="1" ht="15.75" x14ac:dyDescent="0.25">
      <c r="A224" s="65"/>
      <c r="B224" s="73" t="s">
        <v>32</v>
      </c>
      <c r="C224" s="74">
        <v>40</v>
      </c>
      <c r="D224" s="66">
        <v>3.3</v>
      </c>
      <c r="E224" s="66">
        <v>0.6</v>
      </c>
      <c r="F224" s="66">
        <v>16.7</v>
      </c>
      <c r="G224" s="66">
        <v>87</v>
      </c>
      <c r="H224" s="66">
        <v>0.09</v>
      </c>
      <c r="I224" s="66">
        <v>0</v>
      </c>
      <c r="J224" s="66">
        <v>0</v>
      </c>
      <c r="K224" s="66">
        <v>0.7</v>
      </c>
      <c r="L224" s="66">
        <v>17.5</v>
      </c>
      <c r="M224" s="66">
        <v>79</v>
      </c>
      <c r="N224" s="66">
        <v>23.5</v>
      </c>
      <c r="O224" s="75">
        <v>1.95</v>
      </c>
    </row>
    <row r="225" spans="1:16" s="11" customFormat="1" ht="15.75" x14ac:dyDescent="0.25">
      <c r="A225" s="65"/>
      <c r="B225" s="73" t="s">
        <v>81</v>
      </c>
      <c r="C225" s="74">
        <v>90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98"/>
    </row>
    <row r="226" spans="1:16" s="10" customFormat="1" ht="15.75" x14ac:dyDescent="0.25">
      <c r="A226" s="26"/>
      <c r="B226" s="70" t="s">
        <v>370</v>
      </c>
      <c r="C226" s="71"/>
      <c r="D226" s="72">
        <f>D227+D234+D243+D252+D256+D257</f>
        <v>37.801428571428566</v>
      </c>
      <c r="E226" s="72">
        <f t="shared" ref="E226:O226" si="11">E227+E234+E243+E252+E256+E257</f>
        <v>40.872857142857143</v>
      </c>
      <c r="F226" s="72">
        <f t="shared" si="11"/>
        <v>101.45714285714286</v>
      </c>
      <c r="G226" s="72">
        <f t="shared" si="11"/>
        <v>927.41428571428492</v>
      </c>
      <c r="H226" s="72">
        <f t="shared" si="11"/>
        <v>0.38500000000000001</v>
      </c>
      <c r="I226" s="72">
        <f t="shared" si="11"/>
        <v>20.845714285714283</v>
      </c>
      <c r="J226" s="72">
        <f t="shared" si="11"/>
        <v>84.428571428571431</v>
      </c>
      <c r="K226" s="72">
        <f t="shared" si="11"/>
        <v>10.364285714285714</v>
      </c>
      <c r="L226" s="72">
        <f t="shared" si="11"/>
        <v>131.78571428571428</v>
      </c>
      <c r="M226" s="72">
        <f t="shared" si="11"/>
        <v>398.2714285714286</v>
      </c>
      <c r="N226" s="72">
        <f t="shared" si="11"/>
        <v>130.30571428571429</v>
      </c>
      <c r="O226" s="72">
        <f t="shared" si="11"/>
        <v>7.7782857142857145</v>
      </c>
      <c r="P226" s="6"/>
    </row>
    <row r="227" spans="1:16" s="11" customFormat="1" ht="15.75" x14ac:dyDescent="0.25">
      <c r="A227" s="65">
        <v>53</v>
      </c>
      <c r="B227" s="73" t="s">
        <v>48</v>
      </c>
      <c r="C227" s="74" t="s">
        <v>137</v>
      </c>
      <c r="D227" s="66">
        <v>2.4</v>
      </c>
      <c r="E227" s="66">
        <v>7.1</v>
      </c>
      <c r="F227" s="66">
        <v>10.4</v>
      </c>
      <c r="G227" s="66">
        <v>115</v>
      </c>
      <c r="H227" s="66">
        <v>0.03</v>
      </c>
      <c r="I227" s="66">
        <v>7.9</v>
      </c>
      <c r="J227" s="66">
        <v>0</v>
      </c>
      <c r="K227" s="66">
        <v>3.8</v>
      </c>
      <c r="L227" s="66">
        <v>44</v>
      </c>
      <c r="M227" s="66">
        <v>58</v>
      </c>
      <c r="N227" s="66">
        <v>30</v>
      </c>
      <c r="O227" s="75">
        <v>1.7</v>
      </c>
    </row>
    <row r="228" spans="1:16" ht="15.75" x14ac:dyDescent="0.25">
      <c r="A228" s="65"/>
      <c r="B228" s="76" t="s">
        <v>147</v>
      </c>
      <c r="C228" s="74">
        <v>20</v>
      </c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75"/>
    </row>
    <row r="229" spans="1:16" ht="15.75" x14ac:dyDescent="0.25">
      <c r="A229" s="65"/>
      <c r="B229" s="76" t="s">
        <v>141</v>
      </c>
      <c r="C229" s="74">
        <v>17.600000000000001</v>
      </c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75"/>
    </row>
    <row r="230" spans="1:16" ht="15.75" x14ac:dyDescent="0.25">
      <c r="A230" s="65"/>
      <c r="B230" s="76" t="s">
        <v>146</v>
      </c>
      <c r="C230" s="74">
        <v>6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75"/>
    </row>
    <row r="231" spans="1:16" ht="15.75" x14ac:dyDescent="0.25">
      <c r="A231" s="65"/>
      <c r="B231" s="76" t="s">
        <v>139</v>
      </c>
      <c r="C231" s="74">
        <v>28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75"/>
    </row>
    <row r="232" spans="1:16" ht="15.75" x14ac:dyDescent="0.25">
      <c r="A232" s="65"/>
      <c r="B232" s="76" t="s">
        <v>130</v>
      </c>
      <c r="C232" s="74">
        <v>1.2</v>
      </c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75"/>
    </row>
    <row r="233" spans="1:16" ht="15.75" x14ac:dyDescent="0.25">
      <c r="A233" s="65"/>
      <c r="B233" s="76" t="s">
        <v>138</v>
      </c>
      <c r="C233" s="74">
        <v>76.8</v>
      </c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75"/>
    </row>
    <row r="234" spans="1:16" s="11" customFormat="1" ht="31.5" x14ac:dyDescent="0.25">
      <c r="A234" s="65">
        <v>130</v>
      </c>
      <c r="B234" s="73" t="s">
        <v>49</v>
      </c>
      <c r="C234" s="74">
        <v>250</v>
      </c>
      <c r="D234" s="66">
        <v>4.2300000000000004</v>
      </c>
      <c r="E234" s="66">
        <v>3.6</v>
      </c>
      <c r="F234" s="66">
        <v>15</v>
      </c>
      <c r="G234" s="66">
        <v>110.2</v>
      </c>
      <c r="H234" s="66">
        <v>0</v>
      </c>
      <c r="I234" s="66">
        <v>0.46</v>
      </c>
      <c r="J234" s="66">
        <v>0</v>
      </c>
      <c r="K234" s="66">
        <v>0</v>
      </c>
      <c r="L234" s="66">
        <v>0.5</v>
      </c>
      <c r="M234" s="66">
        <v>1.4</v>
      </c>
      <c r="N234" s="66">
        <v>0.52</v>
      </c>
      <c r="O234" s="75">
        <v>3.4000000000000002E-2</v>
      </c>
    </row>
    <row r="235" spans="1:16" ht="15.75" x14ac:dyDescent="0.25">
      <c r="A235" s="65"/>
      <c r="B235" s="76" t="s">
        <v>171</v>
      </c>
      <c r="C235" s="74">
        <v>50</v>
      </c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75"/>
    </row>
    <row r="236" spans="1:16" ht="15.75" x14ac:dyDescent="0.25">
      <c r="A236" s="65"/>
      <c r="B236" s="76" t="s">
        <v>141</v>
      </c>
      <c r="C236" s="74">
        <v>10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75"/>
    </row>
    <row r="237" spans="1:16" ht="15.75" x14ac:dyDescent="0.25">
      <c r="A237" s="65"/>
      <c r="B237" s="76" t="s">
        <v>142</v>
      </c>
      <c r="C237" s="74">
        <v>10</v>
      </c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75"/>
    </row>
    <row r="238" spans="1:16" ht="15.75" x14ac:dyDescent="0.25">
      <c r="A238" s="65"/>
      <c r="B238" s="76" t="s">
        <v>146</v>
      </c>
      <c r="C238" s="74">
        <v>2.5</v>
      </c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75"/>
    </row>
    <row r="239" spans="1:16" ht="15.75" x14ac:dyDescent="0.25">
      <c r="A239" s="65"/>
      <c r="B239" s="76" t="s">
        <v>189</v>
      </c>
      <c r="C239" s="74">
        <v>0.22</v>
      </c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75"/>
    </row>
    <row r="240" spans="1:16" ht="15.75" x14ac:dyDescent="0.25">
      <c r="A240" s="65"/>
      <c r="B240" s="76" t="s">
        <v>159</v>
      </c>
      <c r="C240" s="74">
        <v>7.7</v>
      </c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75"/>
    </row>
    <row r="241" spans="1:15" ht="15.75" x14ac:dyDescent="0.25">
      <c r="A241" s="65"/>
      <c r="B241" s="76" t="s">
        <v>131</v>
      </c>
      <c r="C241" s="74">
        <v>0.88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75"/>
    </row>
    <row r="242" spans="1:15" ht="15.75" x14ac:dyDescent="0.25">
      <c r="A242" s="65"/>
      <c r="B242" s="76" t="s">
        <v>185</v>
      </c>
      <c r="C242" s="74">
        <v>2.2000000000000002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75"/>
    </row>
    <row r="243" spans="1:15" s="11" customFormat="1" ht="15.75" x14ac:dyDescent="0.25">
      <c r="A243" s="65">
        <v>376</v>
      </c>
      <c r="B243" s="73" t="s">
        <v>50</v>
      </c>
      <c r="C243" s="74">
        <v>250</v>
      </c>
      <c r="D243" s="66">
        <f>16.5/175*250</f>
        <v>23.571428571428573</v>
      </c>
      <c r="E243" s="66">
        <f>20.4/175*250</f>
        <v>29.142857142857139</v>
      </c>
      <c r="F243" s="66">
        <f>13.9/175*250</f>
        <v>19.857142857142858</v>
      </c>
      <c r="G243" s="66">
        <f>1.74285714285714*250</f>
        <v>435.71428571428498</v>
      </c>
      <c r="H243" s="66">
        <f>0.14/175*250</f>
        <v>0.2</v>
      </c>
      <c r="I243" s="66">
        <f>8.6/175*250</f>
        <v>12.285714285714285</v>
      </c>
      <c r="J243" s="66">
        <f>59.1/175*250</f>
        <v>84.428571428571431</v>
      </c>
      <c r="K243" s="66">
        <f>3.3/175*250</f>
        <v>4.7142857142857144</v>
      </c>
      <c r="L243" s="66">
        <f>29.6/175*250</f>
        <v>42.285714285714285</v>
      </c>
      <c r="M243" s="66">
        <f>147.4/175*250</f>
        <v>210.57142857142858</v>
      </c>
      <c r="N243" s="66">
        <f>41.5/175*250</f>
        <v>59.285714285714292</v>
      </c>
      <c r="O243" s="75">
        <f>2.25/175*250</f>
        <v>3.2142857142857144</v>
      </c>
    </row>
    <row r="244" spans="1:15" ht="15.75" x14ac:dyDescent="0.25">
      <c r="A244" s="65"/>
      <c r="B244" s="76" t="s">
        <v>279</v>
      </c>
      <c r="C244" s="74">
        <f>84/175*250</f>
        <v>120</v>
      </c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75"/>
    </row>
    <row r="245" spans="1:15" ht="15.75" x14ac:dyDescent="0.25">
      <c r="A245" s="65"/>
      <c r="B245" s="76" t="s">
        <v>139</v>
      </c>
      <c r="C245" s="74">
        <v>8.57</v>
      </c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75"/>
    </row>
    <row r="246" spans="1:15" ht="15.75" x14ac:dyDescent="0.25">
      <c r="A246" s="65"/>
      <c r="B246" s="76" t="s">
        <v>159</v>
      </c>
      <c r="C246" s="74">
        <v>1.42</v>
      </c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75"/>
    </row>
    <row r="247" spans="1:15" ht="15.75" x14ac:dyDescent="0.25">
      <c r="A247" s="65"/>
      <c r="B247" s="76" t="s">
        <v>141</v>
      </c>
      <c r="C247" s="74">
        <v>14.28</v>
      </c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75"/>
    </row>
    <row r="248" spans="1:15" ht="15.75" x14ac:dyDescent="0.25">
      <c r="A248" s="65"/>
      <c r="B248" s="76" t="s">
        <v>142</v>
      </c>
      <c r="C248" s="74">
        <v>23.28</v>
      </c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75"/>
    </row>
    <row r="249" spans="1:15" ht="15.75" x14ac:dyDescent="0.25">
      <c r="A249" s="65"/>
      <c r="B249" s="76" t="s">
        <v>171</v>
      </c>
      <c r="C249" s="74">
        <v>114.57</v>
      </c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75"/>
    </row>
    <row r="250" spans="1:15" ht="15.75" x14ac:dyDescent="0.25">
      <c r="A250" s="65"/>
      <c r="B250" s="76" t="s">
        <v>146</v>
      </c>
      <c r="C250" s="74">
        <v>8.57</v>
      </c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75"/>
    </row>
    <row r="251" spans="1:15" ht="15.75" x14ac:dyDescent="0.25">
      <c r="A251" s="65"/>
      <c r="B251" s="76" t="s">
        <v>20</v>
      </c>
      <c r="C251" s="74">
        <f>0.7/175*250</f>
        <v>1</v>
      </c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75"/>
    </row>
    <row r="252" spans="1:15" ht="15.75" x14ac:dyDescent="0.25">
      <c r="A252" s="65">
        <v>482</v>
      </c>
      <c r="B252" s="73" t="s">
        <v>83</v>
      </c>
      <c r="C252" s="74" t="s">
        <v>135</v>
      </c>
      <c r="D252" s="66">
        <v>0.5</v>
      </c>
      <c r="E252" s="66">
        <v>0.03</v>
      </c>
      <c r="F252" s="66">
        <v>14.9</v>
      </c>
      <c r="G252" s="66">
        <v>62</v>
      </c>
      <c r="H252" s="66">
        <v>0.01</v>
      </c>
      <c r="I252" s="66">
        <v>0.2</v>
      </c>
      <c r="J252" s="66">
        <v>0</v>
      </c>
      <c r="K252" s="66">
        <v>0.6</v>
      </c>
      <c r="L252" s="66">
        <v>17.5</v>
      </c>
      <c r="M252" s="66">
        <v>16.8</v>
      </c>
      <c r="N252" s="66">
        <v>10</v>
      </c>
      <c r="O252" s="75">
        <v>0.33</v>
      </c>
    </row>
    <row r="253" spans="1:15" ht="15.75" x14ac:dyDescent="0.25">
      <c r="A253" s="65"/>
      <c r="B253" s="76" t="s">
        <v>130</v>
      </c>
      <c r="C253" s="74">
        <v>15</v>
      </c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75"/>
    </row>
    <row r="254" spans="1:15" ht="15.75" x14ac:dyDescent="0.25">
      <c r="A254" s="65"/>
      <c r="B254" s="76" t="s">
        <v>190</v>
      </c>
      <c r="C254" s="74">
        <v>9</v>
      </c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75"/>
    </row>
    <row r="255" spans="1:15" ht="15.75" x14ac:dyDescent="0.25">
      <c r="A255" s="65"/>
      <c r="B255" s="76" t="s">
        <v>58</v>
      </c>
      <c r="C255" s="74">
        <v>20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75"/>
    </row>
    <row r="256" spans="1:15" s="11" customFormat="1" ht="15.75" x14ac:dyDescent="0.25">
      <c r="A256" s="65"/>
      <c r="B256" s="73" t="s">
        <v>51</v>
      </c>
      <c r="C256" s="74">
        <v>40</v>
      </c>
      <c r="D256" s="66">
        <v>3.8</v>
      </c>
      <c r="E256" s="66">
        <v>0.4</v>
      </c>
      <c r="F256" s="66">
        <v>24.6</v>
      </c>
      <c r="G256" s="66">
        <v>117.5</v>
      </c>
      <c r="H256" s="66">
        <v>5.5E-2</v>
      </c>
      <c r="I256" s="66">
        <v>0</v>
      </c>
      <c r="J256" s="66">
        <v>0</v>
      </c>
      <c r="K256" s="66">
        <v>0.55000000000000004</v>
      </c>
      <c r="L256" s="66">
        <v>10</v>
      </c>
      <c r="M256" s="66">
        <v>32.5</v>
      </c>
      <c r="N256" s="66">
        <v>7</v>
      </c>
      <c r="O256" s="75">
        <v>0.55000000000000004</v>
      </c>
    </row>
    <row r="257" spans="1:16" s="11" customFormat="1" ht="15.75" x14ac:dyDescent="0.25">
      <c r="A257" s="65"/>
      <c r="B257" s="73" t="s">
        <v>32</v>
      </c>
      <c r="C257" s="74">
        <v>40</v>
      </c>
      <c r="D257" s="66">
        <v>3.3</v>
      </c>
      <c r="E257" s="66">
        <v>0.6</v>
      </c>
      <c r="F257" s="66">
        <v>16.7</v>
      </c>
      <c r="G257" s="66">
        <v>87</v>
      </c>
      <c r="H257" s="66">
        <v>0.09</v>
      </c>
      <c r="I257" s="66">
        <v>0</v>
      </c>
      <c r="J257" s="66">
        <v>0</v>
      </c>
      <c r="K257" s="66">
        <v>0.7</v>
      </c>
      <c r="L257" s="66">
        <v>17.5</v>
      </c>
      <c r="M257" s="66">
        <v>79</v>
      </c>
      <c r="N257" s="66">
        <v>23.5</v>
      </c>
      <c r="O257" s="75">
        <v>1.95</v>
      </c>
    </row>
    <row r="258" spans="1:16" s="10" customFormat="1" ht="15.75" x14ac:dyDescent="0.25">
      <c r="A258" s="26"/>
      <c r="B258" s="73" t="s">
        <v>371</v>
      </c>
      <c r="C258" s="71"/>
      <c r="D258" s="72">
        <f>D259+D260+D268+D276+D279+D280</f>
        <v>33.283846153846156</v>
      </c>
      <c r="E258" s="72">
        <f t="shared" ref="E258:O258" si="12">E259+E260+E268+E276+E279+E280</f>
        <v>31.337692307692308</v>
      </c>
      <c r="F258" s="72">
        <f t="shared" si="12"/>
        <v>290.14676923076922</v>
      </c>
      <c r="G258" s="72">
        <f t="shared" si="12"/>
        <v>800.03384615384493</v>
      </c>
      <c r="H258" s="72">
        <f t="shared" si="12"/>
        <v>0.52192307692307693</v>
      </c>
      <c r="I258" s="72">
        <f t="shared" si="12"/>
        <v>68.884615384615373</v>
      </c>
      <c r="J258" s="72">
        <f t="shared" si="12"/>
        <v>0</v>
      </c>
      <c r="K258" s="72">
        <f t="shared" si="12"/>
        <v>7.1492307692307691</v>
      </c>
      <c r="L258" s="72">
        <f t="shared" si="12"/>
        <v>120.69538461538461</v>
      </c>
      <c r="M258" s="72">
        <f t="shared" si="12"/>
        <v>464.98846153846148</v>
      </c>
      <c r="N258" s="72">
        <f t="shared" si="12"/>
        <v>137.46846153846155</v>
      </c>
      <c r="O258" s="72">
        <f t="shared" si="12"/>
        <v>8.7407692307692297</v>
      </c>
      <c r="P258" s="6"/>
    </row>
    <row r="259" spans="1:16" s="11" customFormat="1" ht="31.5" x14ac:dyDescent="0.25">
      <c r="A259" s="65">
        <v>148</v>
      </c>
      <c r="B259" s="73" t="s">
        <v>84</v>
      </c>
      <c r="C259" s="74" t="s">
        <v>137</v>
      </c>
      <c r="D259" s="66">
        <v>1.1000000000000001</v>
      </c>
      <c r="E259" s="66">
        <v>0.2</v>
      </c>
      <c r="F259" s="66">
        <v>3.8</v>
      </c>
      <c r="G259" s="66">
        <v>24</v>
      </c>
      <c r="H259" s="66">
        <v>0.06</v>
      </c>
      <c r="I259" s="66">
        <v>25</v>
      </c>
      <c r="J259" s="66">
        <v>0</v>
      </c>
      <c r="K259" s="66">
        <v>0.7</v>
      </c>
      <c r="L259" s="66">
        <v>14</v>
      </c>
      <c r="M259" s="66">
        <v>26</v>
      </c>
      <c r="N259" s="66">
        <v>20</v>
      </c>
      <c r="O259" s="75">
        <v>0.9</v>
      </c>
    </row>
    <row r="260" spans="1:16" s="11" customFormat="1" ht="15.75" x14ac:dyDescent="0.25">
      <c r="A260" s="65">
        <v>100</v>
      </c>
      <c r="B260" s="73" t="s">
        <v>52</v>
      </c>
      <c r="C260" s="74">
        <v>250</v>
      </c>
      <c r="D260" s="66">
        <v>4.63</v>
      </c>
      <c r="E260" s="66">
        <v>6.73</v>
      </c>
      <c r="F260" s="66">
        <v>17.420000000000002</v>
      </c>
      <c r="G260" s="66">
        <v>147.38</v>
      </c>
      <c r="H260" s="66">
        <v>0.13</v>
      </c>
      <c r="I260" s="66">
        <v>16.8</v>
      </c>
      <c r="J260" s="66">
        <v>0</v>
      </c>
      <c r="K260" s="66">
        <v>0.23</v>
      </c>
      <c r="L260" s="66">
        <v>31.78</v>
      </c>
      <c r="M260" s="66">
        <v>58.75</v>
      </c>
      <c r="N260" s="66">
        <v>21.53</v>
      </c>
      <c r="O260" s="75">
        <v>1</v>
      </c>
    </row>
    <row r="261" spans="1:16" ht="15.75" x14ac:dyDescent="0.25">
      <c r="A261" s="65"/>
      <c r="B261" s="76" t="s">
        <v>39</v>
      </c>
      <c r="C261" s="74">
        <v>5</v>
      </c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75"/>
    </row>
    <row r="262" spans="1:16" ht="15.75" x14ac:dyDescent="0.25">
      <c r="A262" s="65"/>
      <c r="B262" s="76" t="s">
        <v>140</v>
      </c>
      <c r="C262" s="74">
        <v>12.5</v>
      </c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75"/>
    </row>
    <row r="263" spans="1:16" ht="15.75" x14ac:dyDescent="0.25">
      <c r="A263" s="65"/>
      <c r="B263" s="76" t="s">
        <v>155</v>
      </c>
      <c r="C263" s="74">
        <v>15.07</v>
      </c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75"/>
    </row>
    <row r="264" spans="1:16" ht="15.75" x14ac:dyDescent="0.25">
      <c r="A264" s="65"/>
      <c r="B264" s="76" t="s">
        <v>141</v>
      </c>
      <c r="C264" s="74">
        <v>5.0199999999999996</v>
      </c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75"/>
    </row>
    <row r="265" spans="1:16" ht="15.75" x14ac:dyDescent="0.25">
      <c r="A265" s="65"/>
      <c r="B265" s="76" t="s">
        <v>142</v>
      </c>
      <c r="C265" s="74">
        <v>9.75</v>
      </c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75"/>
    </row>
    <row r="266" spans="1:16" ht="15.75" x14ac:dyDescent="0.25">
      <c r="A266" s="65"/>
      <c r="B266" s="76" t="s">
        <v>171</v>
      </c>
      <c r="C266" s="74">
        <v>75</v>
      </c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75"/>
    </row>
    <row r="267" spans="1:16" ht="15.75" x14ac:dyDescent="0.25">
      <c r="A267" s="65"/>
      <c r="B267" s="76" t="s">
        <v>146</v>
      </c>
      <c r="C267" s="74">
        <v>5</v>
      </c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75"/>
    </row>
    <row r="268" spans="1:16" s="11" customFormat="1" ht="15.75" x14ac:dyDescent="0.25">
      <c r="A268" s="65">
        <v>325</v>
      </c>
      <c r="B268" s="73" t="s">
        <v>53</v>
      </c>
      <c r="C268" s="74">
        <v>250</v>
      </c>
      <c r="D268" s="66">
        <f>26.2/325*250</f>
        <v>20.153846153846153</v>
      </c>
      <c r="E268" s="66">
        <f>30.3/325*250</f>
        <v>23.307692307692307</v>
      </c>
      <c r="F268" s="66">
        <f>28.1/325*2502</f>
        <v>216.32676923076923</v>
      </c>
      <c r="G268" s="66">
        <f>1.50461538461538*250</f>
        <v>376.153846153845</v>
      </c>
      <c r="H268" s="66">
        <f>0.23/325*250</f>
        <v>0.17692307692307693</v>
      </c>
      <c r="I268" s="66">
        <f>0.0215384615384615*250</f>
        <v>5.3846153846153753</v>
      </c>
      <c r="J268" s="66">
        <v>0</v>
      </c>
      <c r="K268" s="66">
        <f>6.2/325*250</f>
        <v>4.7692307692307692</v>
      </c>
      <c r="L268" s="66">
        <f>47.6/325*250</f>
        <v>36.61538461538462</v>
      </c>
      <c r="M268" s="66">
        <f>337.4/325*250</f>
        <v>259.53846153846149</v>
      </c>
      <c r="N268" s="66">
        <f>73.5/325*250</f>
        <v>56.53846153846154</v>
      </c>
      <c r="O268" s="75">
        <f>5.11/325*250</f>
        <v>3.9307692307692306</v>
      </c>
    </row>
    <row r="269" spans="1:16" ht="31.5" x14ac:dyDescent="0.25">
      <c r="A269" s="65"/>
      <c r="B269" s="76" t="s">
        <v>172</v>
      </c>
      <c r="C269" s="74">
        <v>91.53</v>
      </c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75"/>
    </row>
    <row r="270" spans="1:16" ht="15.75" x14ac:dyDescent="0.25">
      <c r="A270" s="65"/>
      <c r="B270" s="76" t="s">
        <v>139</v>
      </c>
      <c r="C270" s="74">
        <v>11.53</v>
      </c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75"/>
    </row>
    <row r="271" spans="1:16" ht="15.75" x14ac:dyDescent="0.25">
      <c r="A271" s="65"/>
      <c r="B271" s="76" t="s">
        <v>146</v>
      </c>
      <c r="C271" s="74">
        <v>9.23</v>
      </c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75"/>
    </row>
    <row r="272" spans="1:16" ht="15.75" x14ac:dyDescent="0.25">
      <c r="A272" s="65"/>
      <c r="B272" s="76" t="s">
        <v>159</v>
      </c>
      <c r="C272" s="74">
        <v>3.84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75"/>
    </row>
    <row r="273" spans="1:16" ht="15.75" x14ac:dyDescent="0.25">
      <c r="A273" s="65"/>
      <c r="B273" s="76" t="s">
        <v>155</v>
      </c>
      <c r="C273" s="74">
        <v>22.84</v>
      </c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75"/>
    </row>
    <row r="274" spans="1:16" ht="15.75" x14ac:dyDescent="0.25">
      <c r="A274" s="65"/>
      <c r="B274" s="76" t="s">
        <v>141</v>
      </c>
      <c r="C274" s="74">
        <v>19.38</v>
      </c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75"/>
    </row>
    <row r="275" spans="1:16" ht="15.75" x14ac:dyDescent="0.25">
      <c r="A275" s="65"/>
      <c r="B275" s="76" t="s">
        <v>171</v>
      </c>
      <c r="C275" s="74">
        <f>200.2/325*250</f>
        <v>154</v>
      </c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75"/>
    </row>
    <row r="276" spans="1:16" s="11" customFormat="1" ht="31.5" x14ac:dyDescent="0.25">
      <c r="A276" s="65">
        <v>490</v>
      </c>
      <c r="B276" s="73" t="s">
        <v>54</v>
      </c>
      <c r="C276" s="74">
        <v>200</v>
      </c>
      <c r="D276" s="66">
        <v>0.3</v>
      </c>
      <c r="E276" s="66">
        <v>0.1</v>
      </c>
      <c r="F276" s="66">
        <v>11.3</v>
      </c>
      <c r="G276" s="66">
        <v>48</v>
      </c>
      <c r="H276" s="66">
        <v>0.01</v>
      </c>
      <c r="I276" s="66">
        <v>21.7</v>
      </c>
      <c r="J276" s="66">
        <v>0</v>
      </c>
      <c r="K276" s="66">
        <v>0.2</v>
      </c>
      <c r="L276" s="66">
        <v>10.8</v>
      </c>
      <c r="M276" s="66">
        <v>9.1999999999999993</v>
      </c>
      <c r="N276" s="66">
        <v>8.9</v>
      </c>
      <c r="O276" s="75">
        <v>0.41</v>
      </c>
    </row>
    <row r="277" spans="1:16" ht="15.75" x14ac:dyDescent="0.25">
      <c r="A277" s="65"/>
      <c r="B277" s="76" t="s">
        <v>130</v>
      </c>
      <c r="C277" s="74">
        <v>10</v>
      </c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75"/>
    </row>
    <row r="278" spans="1:16" ht="15.75" x14ac:dyDescent="0.25">
      <c r="A278" s="65"/>
      <c r="B278" s="76" t="s">
        <v>311</v>
      </c>
      <c r="C278" s="74">
        <v>30</v>
      </c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75"/>
    </row>
    <row r="279" spans="1:16" s="11" customFormat="1" ht="15.75" x14ac:dyDescent="0.25">
      <c r="A279" s="65"/>
      <c r="B279" s="73" t="s">
        <v>51</v>
      </c>
      <c r="C279" s="74">
        <v>40</v>
      </c>
      <c r="D279" s="66">
        <v>3.8</v>
      </c>
      <c r="E279" s="66">
        <v>0.4</v>
      </c>
      <c r="F279" s="66">
        <v>24.6</v>
      </c>
      <c r="G279" s="66">
        <v>117.5</v>
      </c>
      <c r="H279" s="66">
        <v>5.5E-2</v>
      </c>
      <c r="I279" s="66">
        <v>0</v>
      </c>
      <c r="J279" s="66">
        <v>0</v>
      </c>
      <c r="K279" s="66">
        <v>0.55000000000000004</v>
      </c>
      <c r="L279" s="66">
        <v>10</v>
      </c>
      <c r="M279" s="66">
        <v>32.5</v>
      </c>
      <c r="N279" s="66">
        <v>7</v>
      </c>
      <c r="O279" s="75">
        <v>0.55000000000000004</v>
      </c>
    </row>
    <row r="280" spans="1:16" s="11" customFormat="1" ht="15.75" x14ac:dyDescent="0.25">
      <c r="A280" s="65"/>
      <c r="B280" s="73" t="s">
        <v>32</v>
      </c>
      <c r="C280" s="74">
        <v>40</v>
      </c>
      <c r="D280" s="66">
        <v>3.3</v>
      </c>
      <c r="E280" s="66">
        <v>0.6</v>
      </c>
      <c r="F280" s="66">
        <v>16.7</v>
      </c>
      <c r="G280" s="66">
        <v>87</v>
      </c>
      <c r="H280" s="66">
        <v>0.09</v>
      </c>
      <c r="I280" s="66">
        <v>0</v>
      </c>
      <c r="J280" s="66">
        <v>0</v>
      </c>
      <c r="K280" s="66">
        <v>0.7</v>
      </c>
      <c r="L280" s="66">
        <v>17.5</v>
      </c>
      <c r="M280" s="66">
        <v>79</v>
      </c>
      <c r="N280" s="66">
        <v>23.5</v>
      </c>
      <c r="O280" s="75">
        <v>1.95</v>
      </c>
    </row>
    <row r="281" spans="1:16" s="10" customFormat="1" ht="15.75" x14ac:dyDescent="0.25">
      <c r="A281" s="26"/>
      <c r="B281" s="73" t="s">
        <v>363</v>
      </c>
      <c r="C281" s="71"/>
      <c r="D281" s="72">
        <f>D282+D289</f>
        <v>8.8000000000000007</v>
      </c>
      <c r="E281" s="72">
        <f t="shared" ref="E281:O281" si="13">E282+E289</f>
        <v>0.5</v>
      </c>
      <c r="F281" s="72">
        <f t="shared" si="13"/>
        <v>169.9</v>
      </c>
      <c r="G281" s="72">
        <f t="shared" si="13"/>
        <v>385</v>
      </c>
      <c r="H281" s="72">
        <f t="shared" si="13"/>
        <v>0.13</v>
      </c>
      <c r="I281" s="72">
        <f t="shared" si="13"/>
        <v>0.2</v>
      </c>
      <c r="J281" s="72">
        <f t="shared" si="13"/>
        <v>0.04</v>
      </c>
      <c r="K281" s="72">
        <f t="shared" si="13"/>
        <v>1.3</v>
      </c>
      <c r="L281" s="72">
        <f t="shared" si="13"/>
        <v>28</v>
      </c>
      <c r="M281" s="72">
        <f t="shared" si="13"/>
        <v>104</v>
      </c>
      <c r="N281" s="72">
        <f t="shared" si="13"/>
        <v>30</v>
      </c>
      <c r="O281" s="72">
        <f t="shared" si="13"/>
        <v>1</v>
      </c>
      <c r="P281" s="6"/>
    </row>
    <row r="282" spans="1:16" s="11" customFormat="1" ht="15.75" x14ac:dyDescent="0.25">
      <c r="A282" s="65"/>
      <c r="B282" s="73" t="s">
        <v>280</v>
      </c>
      <c r="C282" s="74">
        <v>100</v>
      </c>
      <c r="D282" s="66">
        <v>8.8000000000000007</v>
      </c>
      <c r="E282" s="66">
        <v>0.5</v>
      </c>
      <c r="F282" s="66">
        <v>169.9</v>
      </c>
      <c r="G282" s="66">
        <v>385</v>
      </c>
      <c r="H282" s="66">
        <v>0.13</v>
      </c>
      <c r="I282" s="66">
        <v>0.2</v>
      </c>
      <c r="J282" s="66">
        <v>0.04</v>
      </c>
      <c r="K282" s="66">
        <v>1.3</v>
      </c>
      <c r="L282" s="66">
        <v>28</v>
      </c>
      <c r="M282" s="66">
        <v>104</v>
      </c>
      <c r="N282" s="66">
        <v>30</v>
      </c>
      <c r="O282" s="75">
        <v>1</v>
      </c>
    </row>
    <row r="283" spans="1:16" s="11" customFormat="1" ht="15.75" x14ac:dyDescent="0.25">
      <c r="A283" s="82"/>
      <c r="B283" s="40" t="s">
        <v>159</v>
      </c>
      <c r="C283" s="83">
        <v>50</v>
      </c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5"/>
    </row>
    <row r="284" spans="1:16" s="11" customFormat="1" ht="15.75" x14ac:dyDescent="0.25">
      <c r="A284" s="82"/>
      <c r="B284" s="40" t="s">
        <v>130</v>
      </c>
      <c r="C284" s="83">
        <v>7.5</v>
      </c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5"/>
    </row>
    <row r="285" spans="1:16" s="11" customFormat="1" ht="15.75" x14ac:dyDescent="0.25">
      <c r="A285" s="82"/>
      <c r="B285" s="40" t="s">
        <v>131</v>
      </c>
      <c r="C285" s="83">
        <v>5</v>
      </c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5"/>
    </row>
    <row r="286" spans="1:16" s="11" customFormat="1" ht="15.75" x14ac:dyDescent="0.25">
      <c r="A286" s="82"/>
      <c r="B286" s="40" t="s">
        <v>185</v>
      </c>
      <c r="C286" s="83">
        <v>3</v>
      </c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5"/>
    </row>
    <row r="287" spans="1:16" s="11" customFormat="1" ht="15.75" x14ac:dyDescent="0.25">
      <c r="A287" s="82"/>
      <c r="B287" s="40" t="s">
        <v>290</v>
      </c>
      <c r="C287" s="83">
        <v>2</v>
      </c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5"/>
    </row>
    <row r="288" spans="1:16" s="11" customFormat="1" ht="15.75" x14ac:dyDescent="0.25">
      <c r="A288" s="82"/>
      <c r="B288" s="40" t="s">
        <v>291</v>
      </c>
      <c r="C288" s="83">
        <v>2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5"/>
    </row>
    <row r="289" spans="1:16" ht="16.5" thickBot="1" x14ac:dyDescent="0.3">
      <c r="A289" s="82"/>
      <c r="B289" s="86" t="s">
        <v>55</v>
      </c>
      <c r="C289" s="83" t="s">
        <v>135</v>
      </c>
      <c r="D289" s="84">
        <v>0</v>
      </c>
      <c r="E289" s="84">
        <v>0</v>
      </c>
      <c r="F289" s="84">
        <v>0</v>
      </c>
      <c r="G289" s="84">
        <v>0</v>
      </c>
      <c r="H289" s="84">
        <v>0</v>
      </c>
      <c r="I289" s="84">
        <v>0</v>
      </c>
      <c r="J289" s="84">
        <v>0</v>
      </c>
      <c r="K289" s="84">
        <v>0</v>
      </c>
      <c r="L289" s="84">
        <v>0</v>
      </c>
      <c r="M289" s="84">
        <v>0</v>
      </c>
      <c r="N289" s="84">
        <v>0</v>
      </c>
      <c r="O289" s="85">
        <v>0</v>
      </c>
    </row>
    <row r="290" spans="1:16" s="14" customFormat="1" ht="16.5" thickBot="1" x14ac:dyDescent="0.3">
      <c r="A290" s="12"/>
      <c r="B290" s="77" t="s">
        <v>29</v>
      </c>
      <c r="C290" s="78"/>
      <c r="D290" s="79">
        <f>D201+D226+D258+D281</f>
        <v>135.42860805860806</v>
      </c>
      <c r="E290" s="79">
        <f t="shared" ref="E290:O290" si="14">E201+E226+E258+E281</f>
        <v>92.682216117216115</v>
      </c>
      <c r="F290" s="79">
        <f t="shared" si="14"/>
        <v>660.02724542124542</v>
      </c>
      <c r="G290" s="79">
        <f t="shared" si="14"/>
        <v>2908.5614652014638</v>
      </c>
      <c r="H290" s="79">
        <f t="shared" si="14"/>
        <v>1.3819230769230768</v>
      </c>
      <c r="I290" s="79">
        <f t="shared" si="14"/>
        <v>91.533329670329664</v>
      </c>
      <c r="J290" s="79">
        <f t="shared" si="14"/>
        <v>214.96857142857144</v>
      </c>
      <c r="K290" s="79">
        <f t="shared" si="14"/>
        <v>20.634516483516482</v>
      </c>
      <c r="L290" s="79">
        <f t="shared" si="14"/>
        <v>872.24443223443211</v>
      </c>
      <c r="M290" s="79">
        <f t="shared" si="14"/>
        <v>1689.3565567765568</v>
      </c>
      <c r="N290" s="79">
        <f t="shared" si="14"/>
        <v>407.78417582417586</v>
      </c>
      <c r="O290" s="79">
        <f t="shared" si="14"/>
        <v>22.319954945054945</v>
      </c>
      <c r="P290" s="13"/>
    </row>
    <row r="291" spans="1:16" ht="15.75" x14ac:dyDescent="0.25">
      <c r="A291" s="18"/>
      <c r="B291" s="19"/>
      <c r="C291" s="20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13"/>
    </row>
    <row r="292" spans="1:16" s="1" customFormat="1" ht="18.75" x14ac:dyDescent="0.25">
      <c r="A292" s="2"/>
      <c r="B292" s="17" t="s">
        <v>250</v>
      </c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6" x14ac:dyDescent="0.2">
      <c r="A293" s="101"/>
      <c r="B293" s="102" t="s">
        <v>116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6" ht="15.75" thickBot="1" x14ac:dyDescent="0.25">
      <c r="A294" s="101"/>
      <c r="B294" s="102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6" s="8" customFormat="1" ht="16.5" thickBot="1" x14ac:dyDescent="0.3">
      <c r="A295" s="103" t="s">
        <v>5</v>
      </c>
      <c r="B295" s="104" t="s">
        <v>117</v>
      </c>
      <c r="C295" s="105" t="s">
        <v>118</v>
      </c>
      <c r="D295" s="106" t="s">
        <v>3</v>
      </c>
      <c r="E295" s="106"/>
      <c r="F295" s="106"/>
      <c r="G295" s="106" t="s">
        <v>119</v>
      </c>
      <c r="H295" s="106" t="s">
        <v>1</v>
      </c>
      <c r="I295" s="106"/>
      <c r="J295" s="106"/>
      <c r="K295" s="106"/>
      <c r="L295" s="108" t="s">
        <v>2</v>
      </c>
      <c r="M295" s="108"/>
      <c r="N295" s="108"/>
      <c r="O295" s="108"/>
      <c r="P295" s="7"/>
    </row>
    <row r="296" spans="1:16" s="9" customFormat="1" ht="31.5" x14ac:dyDescent="0.25">
      <c r="A296" s="103"/>
      <c r="B296" s="104"/>
      <c r="C296" s="105"/>
      <c r="D296" s="63" t="s">
        <v>120</v>
      </c>
      <c r="E296" s="63" t="s">
        <v>121</v>
      </c>
      <c r="F296" s="63" t="s">
        <v>122</v>
      </c>
      <c r="G296" s="106"/>
      <c r="H296" s="63" t="s">
        <v>123</v>
      </c>
      <c r="I296" s="63" t="s">
        <v>124</v>
      </c>
      <c r="J296" s="63" t="s">
        <v>125</v>
      </c>
      <c r="K296" s="63" t="s">
        <v>126</v>
      </c>
      <c r="L296" s="63" t="s">
        <v>127</v>
      </c>
      <c r="M296" s="63" t="s">
        <v>128</v>
      </c>
      <c r="N296" s="63" t="s">
        <v>0</v>
      </c>
      <c r="O296" s="64" t="s">
        <v>4</v>
      </c>
      <c r="P296" s="1"/>
    </row>
    <row r="297" spans="1:16" s="10" customFormat="1" ht="15.75" x14ac:dyDescent="0.25">
      <c r="A297" s="26"/>
      <c r="B297" s="73" t="s">
        <v>368</v>
      </c>
      <c r="C297" s="71"/>
      <c r="D297" s="72">
        <f>D298+D301+D308+D311+D312</f>
        <v>41.699999999999996</v>
      </c>
      <c r="E297" s="72">
        <f t="shared" ref="E297:O297" si="15">E298+E301+E308+E311+E312</f>
        <v>40.900000000000006</v>
      </c>
      <c r="F297" s="72">
        <f t="shared" si="15"/>
        <v>74.7</v>
      </c>
      <c r="G297" s="72">
        <f t="shared" si="15"/>
        <v>835.50000000000023</v>
      </c>
      <c r="H297" s="72">
        <f t="shared" si="15"/>
        <v>0.33499999999999996</v>
      </c>
      <c r="I297" s="72">
        <f t="shared" si="15"/>
        <v>0.8</v>
      </c>
      <c r="J297" s="72">
        <f t="shared" si="15"/>
        <v>443.9</v>
      </c>
      <c r="K297" s="72">
        <f t="shared" si="15"/>
        <v>2.54</v>
      </c>
      <c r="L297" s="72">
        <f t="shared" si="15"/>
        <v>705.9</v>
      </c>
      <c r="M297" s="72">
        <f t="shared" si="15"/>
        <v>757.4</v>
      </c>
      <c r="N297" s="72">
        <f t="shared" si="15"/>
        <v>95.600000000000009</v>
      </c>
      <c r="O297" s="72">
        <f t="shared" si="15"/>
        <v>6.66</v>
      </c>
      <c r="P297" s="6"/>
    </row>
    <row r="298" spans="1:16" s="11" customFormat="1" ht="15.75" x14ac:dyDescent="0.25">
      <c r="A298" s="65">
        <v>58</v>
      </c>
      <c r="B298" s="73" t="s">
        <v>344</v>
      </c>
      <c r="C298" s="74">
        <v>35</v>
      </c>
      <c r="D298" s="66">
        <v>4.0999999999999996</v>
      </c>
      <c r="E298" s="66">
        <v>6.1</v>
      </c>
      <c r="F298" s="66">
        <v>9.9</v>
      </c>
      <c r="G298" s="66">
        <v>111</v>
      </c>
      <c r="H298" s="66">
        <v>0.05</v>
      </c>
      <c r="I298" s="66">
        <v>0</v>
      </c>
      <c r="J298" s="66">
        <v>0</v>
      </c>
      <c r="K298" s="66">
        <v>0.31</v>
      </c>
      <c r="L298" s="66">
        <v>8.5</v>
      </c>
      <c r="M298" s="66">
        <v>45.4</v>
      </c>
      <c r="N298" s="66">
        <v>6.1</v>
      </c>
      <c r="O298" s="75">
        <v>0.67</v>
      </c>
    </row>
    <row r="299" spans="1:16" ht="31.5" x14ac:dyDescent="0.25">
      <c r="A299" s="65"/>
      <c r="B299" s="76" t="s">
        <v>191</v>
      </c>
      <c r="C299" s="74">
        <v>15</v>
      </c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75"/>
    </row>
    <row r="300" spans="1:16" ht="15.75" x14ac:dyDescent="0.25">
      <c r="A300" s="65"/>
      <c r="B300" s="76" t="s">
        <v>51</v>
      </c>
      <c r="C300" s="74">
        <v>20</v>
      </c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75"/>
    </row>
    <row r="301" spans="1:16" s="11" customFormat="1" ht="15.75" x14ac:dyDescent="0.25">
      <c r="A301" s="65">
        <v>275</v>
      </c>
      <c r="B301" s="73" t="s">
        <v>56</v>
      </c>
      <c r="C301" s="74">
        <v>210</v>
      </c>
      <c r="D301" s="66">
        <f>9.3/70*210</f>
        <v>27.900000000000002</v>
      </c>
      <c r="E301" s="66">
        <f>10.2/70*210</f>
        <v>30.6</v>
      </c>
      <c r="F301" s="66">
        <f>1.5/70*210</f>
        <v>4.5</v>
      </c>
      <c r="G301" s="66">
        <f>1.92857142857143*210</f>
        <v>405.00000000000028</v>
      </c>
      <c r="H301" s="66">
        <f>0.04/70*210</f>
        <v>0.12000000000000001</v>
      </c>
      <c r="I301" s="66">
        <f>0.2/70*210</f>
        <v>0.6</v>
      </c>
      <c r="J301" s="66">
        <f>142.9/70*210</f>
        <v>428.7</v>
      </c>
      <c r="K301" s="66">
        <f>0.3/70*210</f>
        <v>0.9</v>
      </c>
      <c r="L301" s="66">
        <f>188.3/70*210</f>
        <v>564.9</v>
      </c>
      <c r="M301" s="66">
        <f>176.6/70*210</f>
        <v>529.79999999999995</v>
      </c>
      <c r="N301" s="66">
        <f>15.8/70*210</f>
        <v>47.400000000000006</v>
      </c>
      <c r="O301" s="75">
        <f>1.14/70*210</f>
        <v>3.42</v>
      </c>
    </row>
    <row r="302" spans="1:16" ht="15.75" x14ac:dyDescent="0.25">
      <c r="A302" s="65"/>
      <c r="B302" s="76" t="s">
        <v>335</v>
      </c>
      <c r="C302" s="74">
        <f>14.8/70*210</f>
        <v>44.4</v>
      </c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75"/>
    </row>
    <row r="303" spans="1:16" ht="15.75" x14ac:dyDescent="0.25">
      <c r="A303" s="65"/>
      <c r="B303" s="76" t="s">
        <v>131</v>
      </c>
      <c r="C303" s="74">
        <f>2/70*210</f>
        <v>6</v>
      </c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75"/>
    </row>
    <row r="304" spans="1:16" ht="31.5" x14ac:dyDescent="0.25">
      <c r="A304" s="65"/>
      <c r="B304" s="76" t="s">
        <v>133</v>
      </c>
      <c r="C304" s="74">
        <f>0.5/70*210</f>
        <v>1.5</v>
      </c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75"/>
    </row>
    <row r="305" spans="1:16" ht="15.75" x14ac:dyDescent="0.25">
      <c r="A305" s="65"/>
      <c r="B305" s="76" t="s">
        <v>146</v>
      </c>
      <c r="C305" s="74">
        <f>1/70*210</f>
        <v>3</v>
      </c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75"/>
    </row>
    <row r="306" spans="1:16" ht="15.75" x14ac:dyDescent="0.25">
      <c r="A306" s="65"/>
      <c r="B306" s="76" t="s">
        <v>185</v>
      </c>
      <c r="C306" s="74">
        <f>40/70*210</f>
        <v>120</v>
      </c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75"/>
    </row>
    <row r="307" spans="1:16" ht="15.75" x14ac:dyDescent="0.25">
      <c r="A307" s="65"/>
      <c r="B307" s="76" t="s">
        <v>134</v>
      </c>
      <c r="C307" s="74">
        <f>25/70*210</f>
        <v>75</v>
      </c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75"/>
    </row>
    <row r="308" spans="1:16" s="11" customFormat="1" ht="31.5" x14ac:dyDescent="0.25">
      <c r="A308" s="65">
        <v>466</v>
      </c>
      <c r="B308" s="73" t="s">
        <v>57</v>
      </c>
      <c r="C308" s="74" t="s">
        <v>135</v>
      </c>
      <c r="D308" s="66">
        <v>2.6</v>
      </c>
      <c r="E308" s="66">
        <v>3.2</v>
      </c>
      <c r="F308" s="66">
        <v>19</v>
      </c>
      <c r="G308" s="66">
        <v>115</v>
      </c>
      <c r="H308" s="66">
        <v>0.02</v>
      </c>
      <c r="I308" s="66">
        <v>0.2</v>
      </c>
      <c r="J308" s="66">
        <v>15.2</v>
      </c>
      <c r="K308" s="66">
        <v>0.08</v>
      </c>
      <c r="L308" s="66">
        <v>105</v>
      </c>
      <c r="M308" s="66">
        <v>70.7</v>
      </c>
      <c r="N308" s="66">
        <v>11.6</v>
      </c>
      <c r="O308" s="75">
        <v>7.0000000000000007E-2</v>
      </c>
    </row>
    <row r="309" spans="1:16" ht="31.5" x14ac:dyDescent="0.25">
      <c r="A309" s="65"/>
      <c r="B309" s="76" t="s">
        <v>193</v>
      </c>
      <c r="C309" s="74">
        <v>38</v>
      </c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75"/>
    </row>
    <row r="310" spans="1:16" ht="15.75" x14ac:dyDescent="0.25">
      <c r="A310" s="65"/>
      <c r="B310" s="76" t="s">
        <v>136</v>
      </c>
      <c r="C310" s="74">
        <v>2.4</v>
      </c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75"/>
    </row>
    <row r="311" spans="1:16" ht="15.75" x14ac:dyDescent="0.25">
      <c r="A311" s="65"/>
      <c r="B311" s="73" t="s">
        <v>51</v>
      </c>
      <c r="C311" s="74">
        <v>40</v>
      </c>
      <c r="D311" s="66">
        <v>3.8</v>
      </c>
      <c r="E311" s="66">
        <v>0.4</v>
      </c>
      <c r="F311" s="66">
        <v>24.6</v>
      </c>
      <c r="G311" s="66">
        <v>117.5</v>
      </c>
      <c r="H311" s="66">
        <v>5.5E-2</v>
      </c>
      <c r="I311" s="66">
        <v>0</v>
      </c>
      <c r="J311" s="66">
        <v>0</v>
      </c>
      <c r="K311" s="66">
        <v>0.55000000000000004</v>
      </c>
      <c r="L311" s="66">
        <v>10</v>
      </c>
      <c r="M311" s="66">
        <v>32.5</v>
      </c>
      <c r="N311" s="66">
        <v>7</v>
      </c>
      <c r="O311" s="75">
        <v>0.55000000000000004</v>
      </c>
    </row>
    <row r="312" spans="1:16" ht="15.75" x14ac:dyDescent="0.25">
      <c r="A312" s="65"/>
      <c r="B312" s="73" t="s">
        <v>32</v>
      </c>
      <c r="C312" s="74">
        <v>40</v>
      </c>
      <c r="D312" s="66">
        <v>3.3</v>
      </c>
      <c r="E312" s="66">
        <v>0.6</v>
      </c>
      <c r="F312" s="66">
        <v>16.7</v>
      </c>
      <c r="G312" s="66">
        <v>87</v>
      </c>
      <c r="H312" s="66">
        <v>0.09</v>
      </c>
      <c r="I312" s="66">
        <v>0</v>
      </c>
      <c r="J312" s="66">
        <v>0</v>
      </c>
      <c r="K312" s="66">
        <v>0.7</v>
      </c>
      <c r="L312" s="66">
        <v>17.5</v>
      </c>
      <c r="M312" s="66">
        <v>79</v>
      </c>
      <c r="N312" s="66">
        <v>23.5</v>
      </c>
      <c r="O312" s="75">
        <v>1.95</v>
      </c>
    </row>
    <row r="313" spans="1:16" ht="15.75" x14ac:dyDescent="0.25">
      <c r="A313" s="65"/>
      <c r="B313" s="73" t="s">
        <v>162</v>
      </c>
      <c r="C313" s="74">
        <v>200</v>
      </c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98"/>
    </row>
    <row r="314" spans="1:16" s="10" customFormat="1" ht="15.75" x14ac:dyDescent="0.25">
      <c r="A314" s="26"/>
      <c r="B314" s="73" t="s">
        <v>372</v>
      </c>
      <c r="C314" s="71"/>
      <c r="D314" s="72">
        <f>D315+D321+D327+D336+D344+D348+D349</f>
        <v>38.877619047619092</v>
      </c>
      <c r="E314" s="72">
        <f t="shared" ref="E314:O314" si="16">E315+E321+E327+E336+E344+E348+E349</f>
        <v>33.442380952380958</v>
      </c>
      <c r="F314" s="72">
        <f t="shared" si="16"/>
        <v>147.52999999999997</v>
      </c>
      <c r="G314" s="72">
        <f t="shared" si="16"/>
        <v>1049.9452380952389</v>
      </c>
      <c r="H314" s="72">
        <f t="shared" si="16"/>
        <v>0.49619047619047618</v>
      </c>
      <c r="I314" s="72">
        <f t="shared" si="16"/>
        <v>16.452857142857145</v>
      </c>
      <c r="J314" s="72">
        <f t="shared" si="16"/>
        <v>1.7</v>
      </c>
      <c r="K314" s="72">
        <f t="shared" si="16"/>
        <v>10.934285714285707</v>
      </c>
      <c r="L314" s="72">
        <f t="shared" si="16"/>
        <v>153.79238095238094</v>
      </c>
      <c r="M314" s="72">
        <f t="shared" si="16"/>
        <v>567.81666666666661</v>
      </c>
      <c r="N314" s="72">
        <f t="shared" si="16"/>
        <v>167.26095238095238</v>
      </c>
      <c r="O314" s="72">
        <f t="shared" si="16"/>
        <v>9.8239047619047621</v>
      </c>
      <c r="P314" s="6"/>
    </row>
    <row r="315" spans="1:16" s="11" customFormat="1" ht="31.5" x14ac:dyDescent="0.25">
      <c r="A315" s="65">
        <v>23</v>
      </c>
      <c r="B315" s="73" t="s">
        <v>194</v>
      </c>
      <c r="C315" s="74" t="s">
        <v>137</v>
      </c>
      <c r="D315" s="66">
        <v>1.3</v>
      </c>
      <c r="E315" s="66">
        <v>6.1</v>
      </c>
      <c r="F315" s="66">
        <v>10.1</v>
      </c>
      <c r="G315" s="66">
        <v>101</v>
      </c>
      <c r="H315" s="66">
        <v>0.05</v>
      </c>
      <c r="I315" s="66">
        <v>3.6</v>
      </c>
      <c r="J315" s="66">
        <v>0</v>
      </c>
      <c r="K315" s="66">
        <v>3.3</v>
      </c>
      <c r="L315" s="66">
        <v>30.8</v>
      </c>
      <c r="M315" s="66">
        <v>50.9</v>
      </c>
      <c r="N315" s="66">
        <v>35.5</v>
      </c>
      <c r="O315" s="75">
        <v>0.99</v>
      </c>
    </row>
    <row r="316" spans="1:16" ht="15.75" x14ac:dyDescent="0.25">
      <c r="A316" s="65"/>
      <c r="B316" s="76" t="s">
        <v>161</v>
      </c>
      <c r="C316" s="74">
        <v>13.2</v>
      </c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75"/>
    </row>
    <row r="317" spans="1:16" ht="15.75" x14ac:dyDescent="0.25">
      <c r="A317" s="65"/>
      <c r="B317" s="76" t="s">
        <v>130</v>
      </c>
      <c r="C317" s="74">
        <v>1.2</v>
      </c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75"/>
    </row>
    <row r="318" spans="1:16" ht="15.75" x14ac:dyDescent="0.25">
      <c r="A318" s="65"/>
      <c r="B318" s="76" t="s">
        <v>142</v>
      </c>
      <c r="C318" s="74">
        <v>76.400000000000006</v>
      </c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75"/>
    </row>
    <row r="319" spans="1:16" ht="15.75" x14ac:dyDescent="0.25">
      <c r="A319" s="65"/>
      <c r="B319" s="76" t="s">
        <v>195</v>
      </c>
      <c r="C319" s="74">
        <v>5.6</v>
      </c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75"/>
    </row>
    <row r="320" spans="1:16" ht="15.75" x14ac:dyDescent="0.25">
      <c r="A320" s="65"/>
      <c r="B320" s="76" t="s">
        <v>146</v>
      </c>
      <c r="C320" s="74">
        <v>6</v>
      </c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75"/>
    </row>
    <row r="321" spans="1:15" s="11" customFormat="1" ht="31.5" x14ac:dyDescent="0.25">
      <c r="A321" s="65">
        <v>330</v>
      </c>
      <c r="B321" s="73" t="s">
        <v>101</v>
      </c>
      <c r="C321" s="74">
        <v>250</v>
      </c>
      <c r="D321" s="66">
        <v>2.67</v>
      </c>
      <c r="E321" s="66">
        <v>2.57</v>
      </c>
      <c r="F321" s="66">
        <v>16.75</v>
      </c>
      <c r="G321" s="66">
        <v>100.75</v>
      </c>
      <c r="H321" s="66">
        <v>0.105</v>
      </c>
      <c r="I321" s="66">
        <v>7.77</v>
      </c>
      <c r="J321" s="66">
        <v>1.7</v>
      </c>
      <c r="K321" s="66">
        <v>1.37</v>
      </c>
      <c r="L321" s="66">
        <v>22.9</v>
      </c>
      <c r="M321" s="66">
        <v>66.47</v>
      </c>
      <c r="N321" s="66">
        <v>24.32</v>
      </c>
      <c r="O321" s="75">
        <v>1.08</v>
      </c>
    </row>
    <row r="322" spans="1:15" ht="15.75" x14ac:dyDescent="0.25">
      <c r="A322" s="65"/>
      <c r="B322" s="76" t="s">
        <v>141</v>
      </c>
      <c r="C322" s="74">
        <v>10.07</v>
      </c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75"/>
    </row>
    <row r="323" spans="1:15" ht="15.75" x14ac:dyDescent="0.25">
      <c r="A323" s="65"/>
      <c r="B323" s="76" t="s">
        <v>142</v>
      </c>
      <c r="C323" s="74">
        <v>9.75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75"/>
    </row>
    <row r="324" spans="1:15" ht="15.75" x14ac:dyDescent="0.25">
      <c r="A324" s="65"/>
      <c r="B324" s="76" t="s">
        <v>160</v>
      </c>
      <c r="C324" s="74">
        <v>12.5</v>
      </c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75"/>
    </row>
    <row r="325" spans="1:15" ht="15.75" x14ac:dyDescent="0.25">
      <c r="A325" s="65"/>
      <c r="B325" s="76" t="s">
        <v>171</v>
      </c>
      <c r="C325" s="74">
        <v>50.05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75"/>
    </row>
    <row r="326" spans="1:15" ht="15.75" x14ac:dyDescent="0.25">
      <c r="A326" s="65"/>
      <c r="B326" s="76" t="s">
        <v>146</v>
      </c>
      <c r="C326" s="74">
        <v>2.5</v>
      </c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75"/>
    </row>
    <row r="327" spans="1:15" s="11" customFormat="1" ht="31.5" x14ac:dyDescent="0.25">
      <c r="A327" s="65">
        <v>324</v>
      </c>
      <c r="B327" s="73" t="s">
        <v>59</v>
      </c>
      <c r="C327" s="74">
        <v>110</v>
      </c>
      <c r="D327" s="66">
        <f>0.20952380952381*110</f>
        <v>23.047619047619101</v>
      </c>
      <c r="E327" s="66">
        <f>17.9/105*110</f>
        <v>18.752380952380953</v>
      </c>
      <c r="F327" s="66">
        <f>16.8/105*110</f>
        <v>17.600000000000001</v>
      </c>
      <c r="G327" s="66">
        <f>3.01904761904762*110</f>
        <v>332.09523809523819</v>
      </c>
      <c r="H327" s="66">
        <f>0.13/105*110</f>
        <v>0.1361904761904762</v>
      </c>
      <c r="I327" s="66">
        <f>0.9/105*110</f>
        <v>0.94285714285714295</v>
      </c>
      <c r="J327" s="66">
        <v>0</v>
      </c>
      <c r="K327" s="66">
        <f>2.4/105*110</f>
        <v>2.5142857142857142</v>
      </c>
      <c r="L327" s="66">
        <f>36.8/105*110</f>
        <v>38.55238095238095</v>
      </c>
      <c r="M327" s="66">
        <f>219.8/105*110</f>
        <v>230.26666666666665</v>
      </c>
      <c r="N327" s="66">
        <f>33.2/105*110</f>
        <v>34.780952380952385</v>
      </c>
      <c r="O327" s="75">
        <f>3.82/105*110</f>
        <v>4.0019047619047621</v>
      </c>
    </row>
    <row r="328" spans="1:15" ht="15.75" x14ac:dyDescent="0.25">
      <c r="A328" s="65"/>
      <c r="B328" s="76" t="s">
        <v>196</v>
      </c>
      <c r="C328" s="74">
        <v>10.47</v>
      </c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75"/>
    </row>
    <row r="329" spans="1:15" ht="31.5" x14ac:dyDescent="0.25">
      <c r="A329" s="65"/>
      <c r="B329" s="76" t="s">
        <v>172</v>
      </c>
      <c r="C329" s="74">
        <v>130.94999999999999</v>
      </c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75"/>
    </row>
    <row r="330" spans="1:15" ht="15.75" x14ac:dyDescent="0.25">
      <c r="A330" s="65"/>
      <c r="B330" s="76" t="s">
        <v>130</v>
      </c>
      <c r="C330" s="74">
        <v>7.0000000000000007E-2</v>
      </c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75"/>
    </row>
    <row r="331" spans="1:15" ht="31.5" x14ac:dyDescent="0.25">
      <c r="A331" s="65"/>
      <c r="B331" s="76" t="s">
        <v>133</v>
      </c>
      <c r="C331" s="74">
        <v>0.41</v>
      </c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75"/>
    </row>
    <row r="332" spans="1:15" ht="15.75" x14ac:dyDescent="0.25">
      <c r="A332" s="65"/>
      <c r="B332" s="76" t="s">
        <v>139</v>
      </c>
      <c r="C332" s="74">
        <v>15.71</v>
      </c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75"/>
    </row>
    <row r="333" spans="1:15" ht="15.75" x14ac:dyDescent="0.25">
      <c r="A333" s="65"/>
      <c r="B333" s="76" t="s">
        <v>146</v>
      </c>
      <c r="C333" s="74">
        <v>4.1900000000000004</v>
      </c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75"/>
    </row>
    <row r="334" spans="1:15" ht="15.75" x14ac:dyDescent="0.25">
      <c r="A334" s="65"/>
      <c r="B334" s="76" t="s">
        <v>141</v>
      </c>
      <c r="C334" s="74">
        <v>21.05</v>
      </c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75"/>
    </row>
    <row r="335" spans="1:15" ht="15.75" x14ac:dyDescent="0.25">
      <c r="A335" s="65"/>
      <c r="B335" s="76" t="s">
        <v>147</v>
      </c>
      <c r="C335" s="74">
        <v>5.23</v>
      </c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75"/>
    </row>
    <row r="336" spans="1:15" s="11" customFormat="1" ht="31.5" x14ac:dyDescent="0.25">
      <c r="A336" s="65">
        <v>237</v>
      </c>
      <c r="B336" s="73" t="s">
        <v>60</v>
      </c>
      <c r="C336" s="74" t="s">
        <v>151</v>
      </c>
      <c r="D336" s="66">
        <f>3.8/150*180</f>
        <v>4.5599999999999996</v>
      </c>
      <c r="E336" s="66">
        <f>4.1/150*180</f>
        <v>4.92</v>
      </c>
      <c r="F336" s="66">
        <f>31.4/150*180</f>
        <v>37.68</v>
      </c>
      <c r="G336" s="66">
        <f>1.18666666666667*180</f>
        <v>213.60000000000062</v>
      </c>
      <c r="H336" s="66">
        <f>0.05/150*180</f>
        <v>6.0000000000000005E-2</v>
      </c>
      <c r="I336" s="66">
        <f>1.7/150*180</f>
        <v>2.04</v>
      </c>
      <c r="J336" s="66">
        <v>0</v>
      </c>
      <c r="K336" s="66">
        <f>0.0133333333333333*180</f>
        <v>2.3999999999999937</v>
      </c>
      <c r="L336" s="66">
        <f>19.2/150*180</f>
        <v>23.04</v>
      </c>
      <c r="M336" s="66">
        <f>83.9/150*180</f>
        <v>100.68</v>
      </c>
      <c r="N336" s="66">
        <f>29.3/150*180</f>
        <v>35.159999999999997</v>
      </c>
      <c r="O336" s="75">
        <f>0.46/150*180</f>
        <v>0.55200000000000005</v>
      </c>
    </row>
    <row r="337" spans="1:16" ht="15.75" x14ac:dyDescent="0.25">
      <c r="A337" s="65"/>
      <c r="B337" s="76" t="s">
        <v>141</v>
      </c>
      <c r="C337" s="74">
        <f>21/150*180</f>
        <v>25.200000000000003</v>
      </c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75"/>
    </row>
    <row r="338" spans="1:16" ht="15.75" x14ac:dyDescent="0.25">
      <c r="A338" s="65"/>
      <c r="B338" s="76" t="s">
        <v>149</v>
      </c>
      <c r="C338" s="74">
        <f>39.6/150*180</f>
        <v>47.52</v>
      </c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75"/>
    </row>
    <row r="339" spans="1:16" ht="15.75" x14ac:dyDescent="0.25">
      <c r="A339" s="65"/>
      <c r="B339" s="76" t="s">
        <v>339</v>
      </c>
      <c r="C339" s="74">
        <f>10/150*180</f>
        <v>12</v>
      </c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75"/>
    </row>
    <row r="340" spans="1:16" ht="31.5" x14ac:dyDescent="0.25">
      <c r="A340" s="65"/>
      <c r="B340" s="76" t="s">
        <v>133</v>
      </c>
      <c r="C340" s="74">
        <v>1.5</v>
      </c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75"/>
    </row>
    <row r="341" spans="1:16" ht="15.75" x14ac:dyDescent="0.25">
      <c r="A341" s="65"/>
      <c r="B341" s="76" t="s">
        <v>338</v>
      </c>
      <c r="C341" s="74">
        <v>12</v>
      </c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75"/>
    </row>
    <row r="342" spans="1:16" ht="15.75" x14ac:dyDescent="0.25">
      <c r="A342" s="65"/>
      <c r="B342" s="76" t="s">
        <v>146</v>
      </c>
      <c r="C342" s="74">
        <f>4/150*180</f>
        <v>4.8000000000000007</v>
      </c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75"/>
    </row>
    <row r="343" spans="1:16" ht="15.75" x14ac:dyDescent="0.25">
      <c r="A343" s="65"/>
      <c r="B343" s="76" t="s">
        <v>142</v>
      </c>
      <c r="C343" s="74">
        <f>13/150*180</f>
        <v>15.600000000000001</v>
      </c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75"/>
    </row>
    <row r="344" spans="1:16" s="11" customFormat="1" ht="15.75" x14ac:dyDescent="0.25">
      <c r="A344" s="65">
        <v>489</v>
      </c>
      <c r="B344" s="73" t="s">
        <v>61</v>
      </c>
      <c r="C344" s="74" t="s">
        <v>135</v>
      </c>
      <c r="D344" s="66">
        <v>0.2</v>
      </c>
      <c r="E344" s="66">
        <v>0.1</v>
      </c>
      <c r="F344" s="66">
        <v>24.1</v>
      </c>
      <c r="G344" s="66">
        <v>98</v>
      </c>
      <c r="H344" s="66">
        <v>0</v>
      </c>
      <c r="I344" s="66">
        <v>2.1</v>
      </c>
      <c r="J344" s="66">
        <v>0</v>
      </c>
      <c r="K344" s="66">
        <v>0.1</v>
      </c>
      <c r="L344" s="66">
        <v>11</v>
      </c>
      <c r="M344" s="66">
        <v>8</v>
      </c>
      <c r="N344" s="66">
        <v>7</v>
      </c>
      <c r="O344" s="75">
        <v>0.7</v>
      </c>
    </row>
    <row r="345" spans="1:16" ht="15.75" x14ac:dyDescent="0.25">
      <c r="A345" s="65"/>
      <c r="B345" s="76" t="s">
        <v>161</v>
      </c>
      <c r="C345" s="74">
        <v>23</v>
      </c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75"/>
    </row>
    <row r="346" spans="1:16" ht="15.75" x14ac:dyDescent="0.25">
      <c r="A346" s="65"/>
      <c r="B346" s="76" t="s">
        <v>130</v>
      </c>
      <c r="C346" s="74">
        <v>10</v>
      </c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75"/>
    </row>
    <row r="347" spans="1:16" ht="15.75" x14ac:dyDescent="0.25">
      <c r="A347" s="65"/>
      <c r="B347" s="76" t="s">
        <v>197</v>
      </c>
      <c r="C347" s="74">
        <v>26.4</v>
      </c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75"/>
    </row>
    <row r="348" spans="1:16" s="11" customFormat="1" ht="15.75" x14ac:dyDescent="0.25">
      <c r="A348" s="65"/>
      <c r="B348" s="73" t="s">
        <v>51</v>
      </c>
      <c r="C348" s="74">
        <v>40</v>
      </c>
      <c r="D348" s="66">
        <v>3.8</v>
      </c>
      <c r="E348" s="66">
        <v>0.4</v>
      </c>
      <c r="F348" s="66">
        <v>24.6</v>
      </c>
      <c r="G348" s="66">
        <v>117.5</v>
      </c>
      <c r="H348" s="66">
        <v>5.5E-2</v>
      </c>
      <c r="I348" s="66">
        <v>0</v>
      </c>
      <c r="J348" s="66">
        <v>0</v>
      </c>
      <c r="K348" s="66">
        <v>0.55000000000000004</v>
      </c>
      <c r="L348" s="66">
        <v>10</v>
      </c>
      <c r="M348" s="66">
        <v>32.5</v>
      </c>
      <c r="N348" s="66">
        <v>7</v>
      </c>
      <c r="O348" s="75">
        <v>0.55000000000000004</v>
      </c>
    </row>
    <row r="349" spans="1:16" s="11" customFormat="1" ht="15.75" x14ac:dyDescent="0.25">
      <c r="A349" s="65"/>
      <c r="B349" s="73" t="s">
        <v>32</v>
      </c>
      <c r="C349" s="74">
        <v>40</v>
      </c>
      <c r="D349" s="66">
        <v>3.3</v>
      </c>
      <c r="E349" s="66">
        <v>0.6</v>
      </c>
      <c r="F349" s="66">
        <v>16.7</v>
      </c>
      <c r="G349" s="66">
        <v>87</v>
      </c>
      <c r="H349" s="66">
        <v>0.09</v>
      </c>
      <c r="I349" s="66">
        <v>0</v>
      </c>
      <c r="J349" s="66">
        <v>0</v>
      </c>
      <c r="K349" s="66">
        <v>0.7</v>
      </c>
      <c r="L349" s="66">
        <v>17.5</v>
      </c>
      <c r="M349" s="66">
        <v>79</v>
      </c>
      <c r="N349" s="66">
        <v>23.5</v>
      </c>
      <c r="O349" s="75">
        <v>1.95</v>
      </c>
    </row>
    <row r="350" spans="1:16" s="10" customFormat="1" ht="15.75" x14ac:dyDescent="0.25">
      <c r="A350" s="26"/>
      <c r="B350" s="73" t="s">
        <v>353</v>
      </c>
      <c r="C350" s="71"/>
      <c r="D350" s="72">
        <f t="shared" ref="D350:O350" si="17">D351+D355+D364+D371+D380+D383+D384</f>
        <v>35.729999999999997</v>
      </c>
      <c r="E350" s="72">
        <f t="shared" si="17"/>
        <v>26.470000000000002</v>
      </c>
      <c r="F350" s="72">
        <f t="shared" si="17"/>
        <v>99.2</v>
      </c>
      <c r="G350" s="72">
        <f t="shared" si="17"/>
        <v>778.85</v>
      </c>
      <c r="H350" s="72">
        <f t="shared" si="17"/>
        <v>0.46199999999999997</v>
      </c>
      <c r="I350" s="72">
        <f t="shared" si="17"/>
        <v>50.91</v>
      </c>
      <c r="J350" s="72">
        <f t="shared" si="17"/>
        <v>103.78</v>
      </c>
      <c r="K350" s="72">
        <f t="shared" si="17"/>
        <v>8.1399999999999988</v>
      </c>
      <c r="L350" s="72">
        <f t="shared" si="17"/>
        <v>254.93</v>
      </c>
      <c r="M350" s="72">
        <f t="shared" si="17"/>
        <v>587.01</v>
      </c>
      <c r="N350" s="72">
        <f t="shared" si="17"/>
        <v>153.69</v>
      </c>
      <c r="O350" s="72">
        <f t="shared" si="17"/>
        <v>7.9939999999999998</v>
      </c>
      <c r="P350" s="6"/>
    </row>
    <row r="351" spans="1:16" s="11" customFormat="1" ht="31.5" x14ac:dyDescent="0.25">
      <c r="A351" s="65">
        <v>18</v>
      </c>
      <c r="B351" s="73" t="s">
        <v>106</v>
      </c>
      <c r="C351" s="74" t="s">
        <v>137</v>
      </c>
      <c r="D351" s="66">
        <v>1</v>
      </c>
      <c r="E351" s="66">
        <v>6.2</v>
      </c>
      <c r="F351" s="66">
        <v>3.5</v>
      </c>
      <c r="G351" s="66">
        <v>73</v>
      </c>
      <c r="H351" s="66">
        <v>0.05</v>
      </c>
      <c r="I351" s="66">
        <v>13.4</v>
      </c>
      <c r="J351" s="66">
        <v>0</v>
      </c>
      <c r="K351" s="66">
        <v>3.9</v>
      </c>
      <c r="L351" s="66">
        <v>17.5</v>
      </c>
      <c r="M351" s="66">
        <v>30.6</v>
      </c>
      <c r="N351" s="66">
        <v>16.3</v>
      </c>
      <c r="O351" s="75">
        <v>0.72</v>
      </c>
    </row>
    <row r="352" spans="1:16" ht="15.75" x14ac:dyDescent="0.25">
      <c r="A352" s="65"/>
      <c r="B352" s="76" t="s">
        <v>198</v>
      </c>
      <c r="C352" s="74">
        <v>48.4</v>
      </c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75"/>
    </row>
    <row r="353" spans="1:16" ht="15.75" x14ac:dyDescent="0.25">
      <c r="A353" s="65"/>
      <c r="B353" s="76" t="s">
        <v>13</v>
      </c>
      <c r="C353" s="74">
        <v>34.4</v>
      </c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75"/>
    </row>
    <row r="354" spans="1:16" ht="15.75" x14ac:dyDescent="0.25">
      <c r="A354" s="65"/>
      <c r="B354" s="76" t="s">
        <v>146</v>
      </c>
      <c r="C354" s="74">
        <v>6</v>
      </c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75"/>
    </row>
    <row r="355" spans="1:16" s="11" customFormat="1" ht="31.5" x14ac:dyDescent="0.25">
      <c r="A355" s="65">
        <v>124</v>
      </c>
      <c r="B355" s="73" t="s">
        <v>199</v>
      </c>
      <c r="C355" s="74">
        <v>250</v>
      </c>
      <c r="D355" s="66">
        <v>9.27</v>
      </c>
      <c r="E355" s="66">
        <v>8.15</v>
      </c>
      <c r="F355" s="66">
        <v>14.82</v>
      </c>
      <c r="G355" s="66">
        <v>169.75</v>
      </c>
      <c r="H355" s="66">
        <v>0.14299999999999999</v>
      </c>
      <c r="I355" s="66">
        <v>10.45</v>
      </c>
      <c r="J355" s="66">
        <v>7.1</v>
      </c>
      <c r="K355" s="66">
        <v>1.45</v>
      </c>
      <c r="L355" s="66">
        <v>28.65</v>
      </c>
      <c r="M355" s="66">
        <v>146.27000000000001</v>
      </c>
      <c r="N355" s="66">
        <v>38.07</v>
      </c>
      <c r="O355" s="75">
        <v>2.2599999999999998</v>
      </c>
    </row>
    <row r="356" spans="1:16" ht="15.75" x14ac:dyDescent="0.25">
      <c r="A356" s="65"/>
      <c r="B356" s="76" t="s">
        <v>171</v>
      </c>
      <c r="C356" s="74">
        <v>99.92</v>
      </c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75"/>
    </row>
    <row r="357" spans="1:16" ht="15.75" x14ac:dyDescent="0.25">
      <c r="A357" s="65"/>
      <c r="B357" s="76" t="s">
        <v>141</v>
      </c>
      <c r="C357" s="74">
        <v>10</v>
      </c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75"/>
    </row>
    <row r="358" spans="1:16" ht="15.75" x14ac:dyDescent="0.25">
      <c r="A358" s="65"/>
      <c r="B358" s="76" t="s">
        <v>142</v>
      </c>
      <c r="C358" s="74">
        <v>9.75</v>
      </c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75"/>
    </row>
    <row r="359" spans="1:16" ht="15.75" x14ac:dyDescent="0.25">
      <c r="A359" s="65"/>
      <c r="B359" s="76" t="s">
        <v>146</v>
      </c>
      <c r="C359" s="74">
        <v>2.5</v>
      </c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75"/>
    </row>
    <row r="360" spans="1:16" ht="15.75" x14ac:dyDescent="0.25">
      <c r="A360" s="65"/>
      <c r="B360" s="76" t="s">
        <v>139</v>
      </c>
      <c r="C360" s="74">
        <v>2.5</v>
      </c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75"/>
    </row>
    <row r="361" spans="1:16" ht="31.5" x14ac:dyDescent="0.25">
      <c r="A361" s="65"/>
      <c r="B361" s="76" t="s">
        <v>133</v>
      </c>
      <c r="C361" s="74">
        <v>2</v>
      </c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75"/>
    </row>
    <row r="362" spans="1:16" ht="15.75" x14ac:dyDescent="0.25">
      <c r="A362" s="65"/>
      <c r="B362" s="76" t="s">
        <v>185</v>
      </c>
      <c r="C362" s="74">
        <v>2.0099999999999998</v>
      </c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75"/>
    </row>
    <row r="363" spans="1:16" ht="15.75" x14ac:dyDescent="0.25">
      <c r="A363" s="65"/>
      <c r="B363" s="76" t="s">
        <v>200</v>
      </c>
      <c r="C363" s="74">
        <v>29.05</v>
      </c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75"/>
    </row>
    <row r="364" spans="1:16" s="11" customFormat="1" ht="15.75" x14ac:dyDescent="0.25">
      <c r="A364" s="65">
        <v>303</v>
      </c>
      <c r="B364" s="73" t="s">
        <v>62</v>
      </c>
      <c r="C364" s="74">
        <v>100</v>
      </c>
      <c r="D364" s="66">
        <v>14.2</v>
      </c>
      <c r="E364" s="66">
        <v>4.8</v>
      </c>
      <c r="F364" s="66">
        <v>3</v>
      </c>
      <c r="G364" s="66">
        <v>112</v>
      </c>
      <c r="H364" s="66">
        <v>7.0000000000000007E-2</v>
      </c>
      <c r="I364" s="66">
        <v>0.5</v>
      </c>
      <c r="J364" s="66">
        <v>65.900000000000006</v>
      </c>
      <c r="K364" s="66">
        <v>0.8</v>
      </c>
      <c r="L364" s="66">
        <v>64.3</v>
      </c>
      <c r="M364" s="66">
        <v>209.5</v>
      </c>
      <c r="N364" s="66">
        <v>26.2</v>
      </c>
      <c r="O364" s="75">
        <v>0.81</v>
      </c>
    </row>
    <row r="365" spans="1:16" ht="15.75" x14ac:dyDescent="0.25">
      <c r="A365" s="65"/>
      <c r="B365" s="76" t="s">
        <v>312</v>
      </c>
      <c r="C365" s="74">
        <v>73</v>
      </c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75"/>
    </row>
    <row r="366" spans="1:16" ht="15.75" x14ac:dyDescent="0.25">
      <c r="A366" s="87"/>
      <c r="B366" s="88" t="s">
        <v>159</v>
      </c>
      <c r="C366" s="89">
        <v>2.4</v>
      </c>
      <c r="D366" s="90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75"/>
    </row>
    <row r="367" spans="1:16" ht="15.75" x14ac:dyDescent="0.25">
      <c r="A367" s="87"/>
      <c r="B367" s="88" t="s">
        <v>134</v>
      </c>
      <c r="C367" s="89">
        <v>30</v>
      </c>
      <c r="D367" s="90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75"/>
    </row>
    <row r="368" spans="1:16" ht="15.75" x14ac:dyDescent="0.25">
      <c r="A368" s="87"/>
      <c r="B368" s="88" t="s">
        <v>146</v>
      </c>
      <c r="C368" s="89">
        <v>2</v>
      </c>
      <c r="D368" s="90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22"/>
    </row>
    <row r="369" spans="1:15" ht="15.75" x14ac:dyDescent="0.25">
      <c r="A369" s="87"/>
      <c r="B369" s="88" t="s">
        <v>131</v>
      </c>
      <c r="C369" s="89">
        <v>2.4</v>
      </c>
      <c r="D369" s="90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75"/>
    </row>
    <row r="370" spans="1:15" ht="15.75" x14ac:dyDescent="0.25">
      <c r="A370" s="87"/>
      <c r="B370" s="88" t="s">
        <v>185</v>
      </c>
      <c r="C370" s="89">
        <v>17.5</v>
      </c>
      <c r="D370" s="90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75"/>
    </row>
    <row r="371" spans="1:15" ht="15.75" x14ac:dyDescent="0.25">
      <c r="A371" s="65">
        <v>380</v>
      </c>
      <c r="B371" s="73" t="s">
        <v>110</v>
      </c>
      <c r="C371" s="74">
        <v>180</v>
      </c>
      <c r="D371" s="66">
        <f>2.2/100*180</f>
        <v>3.9600000000000004</v>
      </c>
      <c r="E371" s="66">
        <f>3.4/100*180</f>
        <v>6.12</v>
      </c>
      <c r="F371" s="66">
        <f>8.1/100*180</f>
        <v>14.58</v>
      </c>
      <c r="G371" s="66">
        <f>0.72*180</f>
        <v>129.6</v>
      </c>
      <c r="H371" s="66">
        <f>0.03/100*180</f>
        <v>5.3999999999999992E-2</v>
      </c>
      <c r="I371" s="66">
        <f>14.2/100*180</f>
        <v>25.56</v>
      </c>
      <c r="J371" s="66">
        <f>17.1/100*180</f>
        <v>30.78</v>
      </c>
      <c r="K371" s="66">
        <f>0.3/100*180</f>
        <v>0.54</v>
      </c>
      <c r="L371" s="66">
        <f>60.1/100*180</f>
        <v>108.17999999999999</v>
      </c>
      <c r="M371" s="66">
        <f>44.3/100*180</f>
        <v>79.739999999999995</v>
      </c>
      <c r="N371" s="66">
        <f>22.9/100*180</f>
        <v>41.22</v>
      </c>
      <c r="O371" s="75">
        <f>0.88/100*180</f>
        <v>1.5840000000000001</v>
      </c>
    </row>
    <row r="372" spans="1:15" ht="15.75" x14ac:dyDescent="0.25">
      <c r="A372" s="65"/>
      <c r="B372" s="76" t="s">
        <v>139</v>
      </c>
      <c r="C372" s="74">
        <f>8/100*180</f>
        <v>14.4</v>
      </c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75"/>
    </row>
    <row r="373" spans="1:15" ht="15.75" x14ac:dyDescent="0.25">
      <c r="A373" s="65"/>
      <c r="B373" s="76" t="s">
        <v>130</v>
      </c>
      <c r="C373" s="74">
        <f>3/100*180</f>
        <v>5.3999999999999995</v>
      </c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75"/>
    </row>
    <row r="374" spans="1:15" ht="15.75" x14ac:dyDescent="0.25">
      <c r="A374" s="65"/>
      <c r="B374" s="76" t="s">
        <v>159</v>
      </c>
      <c r="C374" s="74">
        <f>1.2/100*180</f>
        <v>2.16</v>
      </c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75"/>
    </row>
    <row r="375" spans="1:15" ht="15.75" x14ac:dyDescent="0.25">
      <c r="A375" s="65"/>
      <c r="B375" s="76" t="s">
        <v>141</v>
      </c>
      <c r="C375" s="74">
        <f>5.9/100*180</f>
        <v>10.620000000000001</v>
      </c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75"/>
    </row>
    <row r="376" spans="1:15" ht="15.75" x14ac:dyDescent="0.25">
      <c r="A376" s="65"/>
      <c r="B376" s="76" t="s">
        <v>142</v>
      </c>
      <c r="C376" s="74">
        <f>3.9/100*180</f>
        <v>7.02</v>
      </c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75"/>
    </row>
    <row r="377" spans="1:15" ht="15.75" x14ac:dyDescent="0.25">
      <c r="A377" s="65"/>
      <c r="B377" s="76" t="s">
        <v>143</v>
      </c>
      <c r="C377" s="74">
        <f>105/100*180</f>
        <v>189</v>
      </c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75"/>
    </row>
    <row r="378" spans="1:15" ht="15.75" x14ac:dyDescent="0.25">
      <c r="A378" s="65"/>
      <c r="B378" s="76" t="s">
        <v>201</v>
      </c>
      <c r="C378" s="74">
        <f>2.1/100*180</f>
        <v>3.7800000000000002</v>
      </c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75"/>
    </row>
    <row r="379" spans="1:15" ht="15.75" x14ac:dyDescent="0.25">
      <c r="A379" s="65"/>
      <c r="B379" s="76" t="s">
        <v>131</v>
      </c>
      <c r="C379" s="74">
        <f>4.5/100*180</f>
        <v>8.1</v>
      </c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75"/>
    </row>
    <row r="380" spans="1:15" s="11" customFormat="1" ht="15.75" x14ac:dyDescent="0.25">
      <c r="A380" s="65">
        <v>498</v>
      </c>
      <c r="B380" s="73" t="s">
        <v>350</v>
      </c>
      <c r="C380" s="74" t="s">
        <v>135</v>
      </c>
      <c r="D380" s="66">
        <v>0.2</v>
      </c>
      <c r="E380" s="66">
        <v>0.2</v>
      </c>
      <c r="F380" s="66">
        <v>22</v>
      </c>
      <c r="G380" s="66">
        <v>90</v>
      </c>
      <c r="H380" s="66">
        <v>0</v>
      </c>
      <c r="I380" s="66">
        <v>1</v>
      </c>
      <c r="J380" s="66">
        <v>0</v>
      </c>
      <c r="K380" s="66">
        <v>0.2</v>
      </c>
      <c r="L380" s="66">
        <v>8.8000000000000007</v>
      </c>
      <c r="M380" s="66">
        <v>9.4</v>
      </c>
      <c r="N380" s="66">
        <v>1.4</v>
      </c>
      <c r="O380" s="75">
        <v>0.12</v>
      </c>
    </row>
    <row r="381" spans="1:15" ht="15.75" x14ac:dyDescent="0.25">
      <c r="A381" s="65"/>
      <c r="B381" s="76" t="s">
        <v>358</v>
      </c>
      <c r="C381" s="74">
        <v>20</v>
      </c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75"/>
    </row>
    <row r="382" spans="1:15" ht="15.75" x14ac:dyDescent="0.25">
      <c r="A382" s="65"/>
      <c r="B382" s="76" t="s">
        <v>130</v>
      </c>
      <c r="C382" s="74">
        <v>10</v>
      </c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75"/>
    </row>
    <row r="383" spans="1:15" s="11" customFormat="1" ht="15.75" x14ac:dyDescent="0.25">
      <c r="A383" s="65"/>
      <c r="B383" s="73" t="s">
        <v>51</v>
      </c>
      <c r="C383" s="74">
        <v>40</v>
      </c>
      <c r="D383" s="66">
        <v>3.8</v>
      </c>
      <c r="E383" s="66">
        <v>0.4</v>
      </c>
      <c r="F383" s="66">
        <v>24.6</v>
      </c>
      <c r="G383" s="66">
        <v>117.5</v>
      </c>
      <c r="H383" s="66">
        <v>5.5E-2</v>
      </c>
      <c r="I383" s="66">
        <v>0</v>
      </c>
      <c r="J383" s="66">
        <v>0</v>
      </c>
      <c r="K383" s="66">
        <v>0.55000000000000004</v>
      </c>
      <c r="L383" s="66">
        <v>10</v>
      </c>
      <c r="M383" s="66">
        <v>32.5</v>
      </c>
      <c r="N383" s="66">
        <v>7</v>
      </c>
      <c r="O383" s="75">
        <v>0.55000000000000004</v>
      </c>
    </row>
    <row r="384" spans="1:15" s="11" customFormat="1" ht="15.75" x14ac:dyDescent="0.25">
      <c r="A384" s="65"/>
      <c r="B384" s="73" t="s">
        <v>32</v>
      </c>
      <c r="C384" s="74">
        <v>40</v>
      </c>
      <c r="D384" s="66">
        <v>3.3</v>
      </c>
      <c r="E384" s="66">
        <v>0.6</v>
      </c>
      <c r="F384" s="66">
        <v>16.7</v>
      </c>
      <c r="G384" s="66">
        <v>87</v>
      </c>
      <c r="H384" s="66">
        <v>0.09</v>
      </c>
      <c r="I384" s="66">
        <v>0</v>
      </c>
      <c r="J384" s="66">
        <v>0</v>
      </c>
      <c r="K384" s="66">
        <v>0.7</v>
      </c>
      <c r="L384" s="66">
        <v>17.5</v>
      </c>
      <c r="M384" s="66">
        <v>79</v>
      </c>
      <c r="N384" s="66">
        <v>23.5</v>
      </c>
      <c r="O384" s="75">
        <v>1.95</v>
      </c>
    </row>
    <row r="385" spans="1:16" s="10" customFormat="1" ht="15.75" x14ac:dyDescent="0.25">
      <c r="A385" s="26"/>
      <c r="B385" s="73" t="s">
        <v>349</v>
      </c>
      <c r="C385" s="71"/>
      <c r="D385" s="72">
        <f>D386+D387</f>
        <v>1.8399999999999999</v>
      </c>
      <c r="E385" s="72">
        <f t="shared" ref="E385:O385" si="18">E386+E387</f>
        <v>0.99</v>
      </c>
      <c r="F385" s="72">
        <f t="shared" si="18"/>
        <v>23.19</v>
      </c>
      <c r="G385" s="72">
        <f t="shared" si="18"/>
        <v>215</v>
      </c>
      <c r="H385" s="72">
        <f t="shared" si="18"/>
        <v>4.9000000000000002E-2</v>
      </c>
      <c r="I385" s="72">
        <f t="shared" si="18"/>
        <v>8</v>
      </c>
      <c r="J385" s="72">
        <f t="shared" si="18"/>
        <v>0</v>
      </c>
      <c r="K385" s="72">
        <f t="shared" si="18"/>
        <v>0.21</v>
      </c>
      <c r="L385" s="72">
        <f t="shared" si="18"/>
        <v>44.8</v>
      </c>
      <c r="M385" s="72">
        <f t="shared" si="18"/>
        <v>10.8</v>
      </c>
      <c r="N385" s="72">
        <f t="shared" si="18"/>
        <v>3</v>
      </c>
      <c r="O385" s="72">
        <f t="shared" si="18"/>
        <v>0.85000000000000009</v>
      </c>
      <c r="P385" s="6"/>
    </row>
    <row r="386" spans="1:16" s="11" customFormat="1" ht="15.75" x14ac:dyDescent="0.25">
      <c r="A386" s="65"/>
      <c r="B386" s="73" t="s">
        <v>63</v>
      </c>
      <c r="C386" s="74" t="s">
        <v>164</v>
      </c>
      <c r="D386" s="66">
        <v>0.84</v>
      </c>
      <c r="E386" s="66">
        <v>0.99</v>
      </c>
      <c r="F386" s="66">
        <v>23.19</v>
      </c>
      <c r="G386" s="66">
        <v>105</v>
      </c>
      <c r="H386" s="66">
        <v>8.9999999999999993E-3</v>
      </c>
      <c r="I386" s="66">
        <v>0</v>
      </c>
      <c r="J386" s="66">
        <v>0</v>
      </c>
      <c r="K386" s="66">
        <v>0.21</v>
      </c>
      <c r="L386" s="66">
        <v>4.8</v>
      </c>
      <c r="M386" s="66">
        <v>10.8</v>
      </c>
      <c r="N386" s="66">
        <v>3</v>
      </c>
      <c r="O386" s="75">
        <v>0.45</v>
      </c>
    </row>
    <row r="387" spans="1:16" s="11" customFormat="1" ht="15.75" x14ac:dyDescent="0.25">
      <c r="A387" s="65"/>
      <c r="B387" s="73" t="s">
        <v>64</v>
      </c>
      <c r="C387" s="74" t="s">
        <v>135</v>
      </c>
      <c r="D387" s="66">
        <v>1</v>
      </c>
      <c r="E387" s="66">
        <v>0</v>
      </c>
      <c r="F387" s="66">
        <v>0</v>
      </c>
      <c r="G387" s="66">
        <v>110</v>
      </c>
      <c r="H387" s="66">
        <v>0.04</v>
      </c>
      <c r="I387" s="66">
        <v>8</v>
      </c>
      <c r="J387" s="66">
        <v>0</v>
      </c>
      <c r="K387" s="66">
        <v>0</v>
      </c>
      <c r="L387" s="66">
        <v>40</v>
      </c>
      <c r="M387" s="66">
        <v>0</v>
      </c>
      <c r="N387" s="66">
        <v>0</v>
      </c>
      <c r="O387" s="75">
        <v>0.4</v>
      </c>
      <c r="P387" s="6"/>
    </row>
    <row r="388" spans="1:16" ht="16.5" thickBot="1" x14ac:dyDescent="0.3">
      <c r="A388" s="82"/>
      <c r="B388" s="91" t="s">
        <v>65</v>
      </c>
      <c r="C388" s="83">
        <v>200</v>
      </c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5"/>
    </row>
    <row r="389" spans="1:16" s="14" customFormat="1" ht="16.5" thickBot="1" x14ac:dyDescent="0.3">
      <c r="A389" s="12"/>
      <c r="B389" s="77" t="s">
        <v>29</v>
      </c>
      <c r="C389" s="78"/>
      <c r="D389" s="79">
        <f t="shared" ref="D389:O389" si="19">D297+D314+D350+D385</f>
        <v>118.14761904761909</v>
      </c>
      <c r="E389" s="79">
        <f t="shared" si="19"/>
        <v>101.80238095238096</v>
      </c>
      <c r="F389" s="79">
        <f t="shared" si="19"/>
        <v>344.61999999999995</v>
      </c>
      <c r="G389" s="79">
        <f t="shared" si="19"/>
        <v>2879.2952380952393</v>
      </c>
      <c r="H389" s="79">
        <f t="shared" si="19"/>
        <v>1.3421904761904759</v>
      </c>
      <c r="I389" s="79">
        <f t="shared" si="19"/>
        <v>76.162857142857149</v>
      </c>
      <c r="J389" s="79">
        <f t="shared" si="19"/>
        <v>549.38</v>
      </c>
      <c r="K389" s="79">
        <f t="shared" si="19"/>
        <v>21.824285714285708</v>
      </c>
      <c r="L389" s="79">
        <f t="shared" si="19"/>
        <v>1159.422380952381</v>
      </c>
      <c r="M389" s="79">
        <f t="shared" si="19"/>
        <v>1923.0266666666666</v>
      </c>
      <c r="N389" s="79">
        <f t="shared" si="19"/>
        <v>419.55095238095237</v>
      </c>
      <c r="O389" s="79">
        <f t="shared" si="19"/>
        <v>25.327904761904762</v>
      </c>
      <c r="P389" s="13"/>
    </row>
    <row r="390" spans="1:16" s="1" customFormat="1" x14ac:dyDescent="0.25">
      <c r="A390" s="15"/>
      <c r="B390" s="16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6" s="1" customFormat="1" ht="18.75" x14ac:dyDescent="0.25">
      <c r="A391" s="2"/>
      <c r="B391" s="23" t="s">
        <v>66</v>
      </c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6" x14ac:dyDescent="0.2">
      <c r="A392" s="101"/>
      <c r="B392" s="102" t="s">
        <v>116</v>
      </c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6" ht="15.75" thickBot="1" x14ac:dyDescent="0.25">
      <c r="A393" s="101"/>
      <c r="B393" s="102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6" s="8" customFormat="1" ht="16.5" thickBot="1" x14ac:dyDescent="0.3">
      <c r="A394" s="103" t="s">
        <v>5</v>
      </c>
      <c r="B394" s="104" t="s">
        <v>117</v>
      </c>
      <c r="C394" s="105" t="s">
        <v>118</v>
      </c>
      <c r="D394" s="106" t="s">
        <v>3</v>
      </c>
      <c r="E394" s="106"/>
      <c r="F394" s="106"/>
      <c r="G394" s="106" t="s">
        <v>119</v>
      </c>
      <c r="H394" s="106" t="s">
        <v>1</v>
      </c>
      <c r="I394" s="106"/>
      <c r="J394" s="106"/>
      <c r="K394" s="106"/>
      <c r="L394" s="108" t="s">
        <v>2</v>
      </c>
      <c r="M394" s="108"/>
      <c r="N394" s="108"/>
      <c r="O394" s="108"/>
      <c r="P394" s="7"/>
    </row>
    <row r="395" spans="1:16" s="9" customFormat="1" ht="31.5" x14ac:dyDescent="0.25">
      <c r="A395" s="103"/>
      <c r="B395" s="104"/>
      <c r="C395" s="105"/>
      <c r="D395" s="63" t="s">
        <v>120</v>
      </c>
      <c r="E395" s="63" t="s">
        <v>121</v>
      </c>
      <c r="F395" s="63" t="s">
        <v>122</v>
      </c>
      <c r="G395" s="106"/>
      <c r="H395" s="63" t="s">
        <v>123</v>
      </c>
      <c r="I395" s="63" t="s">
        <v>124</v>
      </c>
      <c r="J395" s="63" t="s">
        <v>125</v>
      </c>
      <c r="K395" s="63" t="s">
        <v>126</v>
      </c>
      <c r="L395" s="63" t="s">
        <v>127</v>
      </c>
      <c r="M395" s="63" t="s">
        <v>128</v>
      </c>
      <c r="N395" s="63" t="s">
        <v>0</v>
      </c>
      <c r="O395" s="64" t="s">
        <v>4</v>
      </c>
      <c r="P395" s="1"/>
    </row>
    <row r="396" spans="1:16" s="10" customFormat="1" ht="15.75" x14ac:dyDescent="0.25">
      <c r="A396" s="26"/>
      <c r="B396" s="73" t="s">
        <v>381</v>
      </c>
      <c r="C396" s="71"/>
      <c r="D396" s="72">
        <f>D397+D399+D403+D409+D413+D414+D415</f>
        <v>29.685000000000002</v>
      </c>
      <c r="E396" s="72">
        <f t="shared" ref="E396:O396" si="20">E397+E399+E403+E409+E413+E414+E415</f>
        <v>23.645</v>
      </c>
      <c r="F396" s="72">
        <f t="shared" si="20"/>
        <v>104.76</v>
      </c>
      <c r="G396" s="72">
        <f t="shared" si="20"/>
        <v>750.54</v>
      </c>
      <c r="H396" s="72">
        <f t="shared" si="20"/>
        <v>1.0945</v>
      </c>
      <c r="I396" s="72">
        <f t="shared" si="20"/>
        <v>3.4259999999999997</v>
      </c>
      <c r="J396" s="72">
        <f t="shared" si="20"/>
        <v>59.89</v>
      </c>
      <c r="K396" s="72">
        <f t="shared" si="20"/>
        <v>2.1</v>
      </c>
      <c r="L396" s="72">
        <f t="shared" si="20"/>
        <v>520.04099999999994</v>
      </c>
      <c r="M396" s="72">
        <f t="shared" si="20"/>
        <v>567.53700000000003</v>
      </c>
      <c r="N396" s="72">
        <f t="shared" si="20"/>
        <v>99.515000000000001</v>
      </c>
      <c r="O396" s="72">
        <f t="shared" si="20"/>
        <v>5.1485000000000003</v>
      </c>
      <c r="P396" s="6"/>
    </row>
    <row r="397" spans="1:16" s="11" customFormat="1" ht="15.75" x14ac:dyDescent="0.25">
      <c r="A397" s="65"/>
      <c r="B397" s="73" t="s">
        <v>67</v>
      </c>
      <c r="C397" s="74" t="s">
        <v>180</v>
      </c>
      <c r="D397" s="66">
        <v>5.0999999999999996</v>
      </c>
      <c r="E397" s="66">
        <v>4.5999999999999996</v>
      </c>
      <c r="F397" s="66">
        <v>0.3</v>
      </c>
      <c r="G397" s="66">
        <v>63</v>
      </c>
      <c r="H397" s="66">
        <v>3.2000000000000001E-2</v>
      </c>
      <c r="I397" s="66">
        <v>0</v>
      </c>
      <c r="J397" s="66">
        <v>0.1</v>
      </c>
      <c r="K397" s="66">
        <v>0.2</v>
      </c>
      <c r="L397" s="66">
        <v>22</v>
      </c>
      <c r="M397" s="66">
        <v>77</v>
      </c>
      <c r="N397" s="66">
        <v>5</v>
      </c>
      <c r="O397" s="75">
        <v>1</v>
      </c>
    </row>
    <row r="398" spans="1:16" ht="15.75" x14ac:dyDescent="0.25">
      <c r="A398" s="65"/>
      <c r="B398" s="76" t="s">
        <v>185</v>
      </c>
      <c r="C398" s="74">
        <v>40</v>
      </c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75"/>
    </row>
    <row r="399" spans="1:16" s="11" customFormat="1" ht="31.5" x14ac:dyDescent="0.25">
      <c r="A399" s="65">
        <v>63</v>
      </c>
      <c r="B399" s="73" t="s">
        <v>202</v>
      </c>
      <c r="C399" s="74">
        <v>45</v>
      </c>
      <c r="D399" s="66">
        <v>2.31</v>
      </c>
      <c r="E399" s="66">
        <v>3.52</v>
      </c>
      <c r="F399" s="66">
        <v>4.6100000000000003</v>
      </c>
      <c r="G399" s="66">
        <v>57.54</v>
      </c>
      <c r="H399" s="66">
        <v>0</v>
      </c>
      <c r="I399" s="66">
        <v>1E-3</v>
      </c>
      <c r="J399" s="66">
        <v>0</v>
      </c>
      <c r="K399" s="66">
        <v>0</v>
      </c>
      <c r="L399" s="66">
        <v>0.316</v>
      </c>
      <c r="M399" s="66">
        <v>0.16200000000000001</v>
      </c>
      <c r="N399" s="66">
        <v>1.4999999999999999E-2</v>
      </c>
      <c r="O399" s="75">
        <v>1E-3</v>
      </c>
    </row>
    <row r="400" spans="1:16" ht="15.75" x14ac:dyDescent="0.25">
      <c r="A400" s="65"/>
      <c r="B400" s="76" t="s">
        <v>192</v>
      </c>
      <c r="C400" s="74">
        <v>20</v>
      </c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75"/>
    </row>
    <row r="401" spans="1:16" ht="15.75" x14ac:dyDescent="0.25">
      <c r="A401" s="65"/>
      <c r="B401" s="76" t="s">
        <v>131</v>
      </c>
      <c r="C401" s="74">
        <v>5</v>
      </c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75"/>
    </row>
    <row r="402" spans="1:16" ht="15.75" x14ac:dyDescent="0.25">
      <c r="A402" s="65"/>
      <c r="B402" s="76" t="s">
        <v>51</v>
      </c>
      <c r="C402" s="74">
        <v>20</v>
      </c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75"/>
    </row>
    <row r="403" spans="1:16" s="11" customFormat="1" ht="15.75" x14ac:dyDescent="0.25">
      <c r="A403" s="65">
        <v>227</v>
      </c>
      <c r="B403" s="73" t="s">
        <v>68</v>
      </c>
      <c r="C403" s="74" t="s">
        <v>129</v>
      </c>
      <c r="D403" s="66">
        <f>31.1/1000*250</f>
        <v>7.7750000000000004</v>
      </c>
      <c r="E403" s="66">
        <f>32.9/1000*250</f>
        <v>8.2249999999999996</v>
      </c>
      <c r="F403" s="66">
        <f>156.2/1000*250</f>
        <v>39.049999999999997</v>
      </c>
      <c r="G403" s="66">
        <f>1.046*250</f>
        <v>261.5</v>
      </c>
      <c r="H403" s="66">
        <f>0.39/1000*250</f>
        <v>9.7500000000000003E-2</v>
      </c>
      <c r="I403" s="66">
        <f>6.9/1000*250</f>
        <v>1.7250000000000001</v>
      </c>
      <c r="J403" s="66">
        <f>0.201*250</f>
        <v>50.25</v>
      </c>
      <c r="K403" s="66">
        <f>2.6/1000*250</f>
        <v>0.65</v>
      </c>
      <c r="L403" s="66">
        <f>684.5/1000*250</f>
        <v>171.125</v>
      </c>
      <c r="M403" s="66">
        <f>611.9/1000*250</f>
        <v>152.97499999999999</v>
      </c>
      <c r="N403" s="66">
        <f>0.102*250</f>
        <v>25.5</v>
      </c>
      <c r="O403" s="75">
        <f>2.31/1000*250</f>
        <v>0.57750000000000001</v>
      </c>
    </row>
    <row r="404" spans="1:16" ht="15.75" x14ac:dyDescent="0.25">
      <c r="A404" s="65"/>
      <c r="B404" s="76" t="s">
        <v>181</v>
      </c>
      <c r="C404" s="74">
        <f>154/1000*250</f>
        <v>38.5</v>
      </c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75"/>
    </row>
    <row r="405" spans="1:16" ht="15.75" x14ac:dyDescent="0.25">
      <c r="A405" s="65"/>
      <c r="B405" s="76" t="s">
        <v>314</v>
      </c>
      <c r="C405" s="74">
        <f>5/1000*250</f>
        <v>1.25</v>
      </c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75"/>
    </row>
    <row r="406" spans="1:16" ht="15.75" x14ac:dyDescent="0.25">
      <c r="A406" s="65"/>
      <c r="B406" s="76" t="s">
        <v>131</v>
      </c>
      <c r="C406" s="74">
        <f>25/1000*250</f>
        <v>6.25</v>
      </c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75"/>
    </row>
    <row r="407" spans="1:16" ht="15.75" x14ac:dyDescent="0.25">
      <c r="A407" s="65"/>
      <c r="B407" s="76" t="s">
        <v>130</v>
      </c>
      <c r="C407" s="74">
        <v>6.25</v>
      </c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75"/>
    </row>
    <row r="408" spans="1:16" ht="15.75" x14ac:dyDescent="0.25">
      <c r="A408" s="65"/>
      <c r="B408" s="76" t="s">
        <v>134</v>
      </c>
      <c r="C408" s="74">
        <f>530/1000*250</f>
        <v>132.5</v>
      </c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75"/>
    </row>
    <row r="409" spans="1:16" s="11" customFormat="1" ht="15.75" x14ac:dyDescent="0.25">
      <c r="A409" s="65">
        <v>460</v>
      </c>
      <c r="B409" s="73" t="s">
        <v>69</v>
      </c>
      <c r="C409" s="74" t="s">
        <v>135</v>
      </c>
      <c r="D409" s="66">
        <v>1.6</v>
      </c>
      <c r="E409" s="66">
        <v>1.3</v>
      </c>
      <c r="F409" s="66">
        <v>11.5</v>
      </c>
      <c r="G409" s="66">
        <v>64</v>
      </c>
      <c r="H409" s="66">
        <v>0.02</v>
      </c>
      <c r="I409" s="66">
        <v>0.3</v>
      </c>
      <c r="J409" s="66">
        <v>9.5</v>
      </c>
      <c r="K409" s="66">
        <v>0</v>
      </c>
      <c r="L409" s="66">
        <v>59.1</v>
      </c>
      <c r="M409" s="66">
        <v>45.9</v>
      </c>
      <c r="N409" s="66">
        <v>10.5</v>
      </c>
      <c r="O409" s="75">
        <v>0.87</v>
      </c>
    </row>
    <row r="410" spans="1:16" ht="15.75" x14ac:dyDescent="0.25">
      <c r="A410" s="65"/>
      <c r="B410" s="76" t="s">
        <v>134</v>
      </c>
      <c r="C410" s="74">
        <v>50</v>
      </c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75"/>
    </row>
    <row r="411" spans="1:16" ht="15.75" x14ac:dyDescent="0.25">
      <c r="A411" s="65"/>
      <c r="B411" s="76" t="s">
        <v>130</v>
      </c>
      <c r="C411" s="74">
        <v>10</v>
      </c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75"/>
    </row>
    <row r="412" spans="1:16" ht="15.75" x14ac:dyDescent="0.25">
      <c r="A412" s="65"/>
      <c r="B412" s="76" t="s">
        <v>169</v>
      </c>
      <c r="C412" s="74">
        <v>1</v>
      </c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75"/>
    </row>
    <row r="413" spans="1:16" s="11" customFormat="1" ht="15.75" x14ac:dyDescent="0.25">
      <c r="A413" s="65"/>
      <c r="B413" s="73" t="s">
        <v>51</v>
      </c>
      <c r="C413" s="74">
        <v>40</v>
      </c>
      <c r="D413" s="66">
        <v>3.8</v>
      </c>
      <c r="E413" s="66">
        <v>0.4</v>
      </c>
      <c r="F413" s="66">
        <v>24.6</v>
      </c>
      <c r="G413" s="66">
        <v>117.5</v>
      </c>
      <c r="H413" s="66">
        <v>5.5E-2</v>
      </c>
      <c r="I413" s="66">
        <v>0</v>
      </c>
      <c r="J413" s="66">
        <v>0</v>
      </c>
      <c r="K413" s="66">
        <v>0.55000000000000004</v>
      </c>
      <c r="L413" s="66">
        <v>10</v>
      </c>
      <c r="M413" s="66">
        <v>32.5</v>
      </c>
      <c r="N413" s="66">
        <v>7</v>
      </c>
      <c r="O413" s="75">
        <v>0.55000000000000004</v>
      </c>
    </row>
    <row r="414" spans="1:16" s="11" customFormat="1" ht="15.75" x14ac:dyDescent="0.25">
      <c r="A414" s="65"/>
      <c r="B414" s="73" t="s">
        <v>32</v>
      </c>
      <c r="C414" s="74">
        <v>40</v>
      </c>
      <c r="D414" s="66">
        <v>3.3</v>
      </c>
      <c r="E414" s="66">
        <v>0.6</v>
      </c>
      <c r="F414" s="66">
        <v>16.7</v>
      </c>
      <c r="G414" s="66">
        <v>87</v>
      </c>
      <c r="H414" s="66">
        <v>0.09</v>
      </c>
      <c r="I414" s="66">
        <v>0</v>
      </c>
      <c r="J414" s="66">
        <v>0</v>
      </c>
      <c r="K414" s="66">
        <v>0.7</v>
      </c>
      <c r="L414" s="66">
        <v>17.5</v>
      </c>
      <c r="M414" s="66">
        <v>79</v>
      </c>
      <c r="N414" s="66">
        <v>23.5</v>
      </c>
      <c r="O414" s="75">
        <v>1.95</v>
      </c>
    </row>
    <row r="415" spans="1:16" ht="15.75" x14ac:dyDescent="0.25">
      <c r="A415" s="65"/>
      <c r="B415" s="73" t="s">
        <v>357</v>
      </c>
      <c r="C415" s="74">
        <v>100</v>
      </c>
      <c r="D415" s="66">
        <v>5.8</v>
      </c>
      <c r="E415" s="66">
        <v>5</v>
      </c>
      <c r="F415" s="66">
        <v>8</v>
      </c>
      <c r="G415" s="66">
        <v>100</v>
      </c>
      <c r="H415" s="66">
        <v>0.8</v>
      </c>
      <c r="I415" s="66">
        <v>1.4</v>
      </c>
      <c r="J415" s="66">
        <v>0.04</v>
      </c>
      <c r="K415" s="66">
        <v>0</v>
      </c>
      <c r="L415" s="66">
        <v>240</v>
      </c>
      <c r="M415" s="66">
        <v>180</v>
      </c>
      <c r="N415" s="66">
        <v>28</v>
      </c>
      <c r="O415" s="75">
        <v>0.2</v>
      </c>
    </row>
    <row r="416" spans="1:16" s="10" customFormat="1" ht="15.75" x14ac:dyDescent="0.25">
      <c r="A416" s="26"/>
      <c r="B416" s="73" t="s">
        <v>373</v>
      </c>
      <c r="C416" s="71"/>
      <c r="D416" s="72">
        <f>D417+D423+D431+D436+D440+D444+D445</f>
        <v>46.168571428571425</v>
      </c>
      <c r="E416" s="72">
        <f t="shared" ref="E416:O416" si="21">E417+E423+E431+E436+E440+E444+E445</f>
        <v>34.681428571428576</v>
      </c>
      <c r="F416" s="72">
        <f t="shared" si="21"/>
        <v>95.907142857142858</v>
      </c>
      <c r="G416" s="72">
        <f t="shared" si="21"/>
        <v>880.607142857143</v>
      </c>
      <c r="H416" s="72">
        <f t="shared" si="21"/>
        <v>0.61242857142857143</v>
      </c>
      <c r="I416" s="72">
        <f t="shared" si="21"/>
        <v>18.652142857142859</v>
      </c>
      <c r="J416" s="72">
        <f t="shared" si="21"/>
        <v>88.53857142857143</v>
      </c>
      <c r="K416" s="72">
        <f t="shared" si="21"/>
        <v>5.7264285714285714</v>
      </c>
      <c r="L416" s="72">
        <f t="shared" si="21"/>
        <v>200.07142857142858</v>
      </c>
      <c r="M416" s="72">
        <f t="shared" si="21"/>
        <v>585.20571428571429</v>
      </c>
      <c r="N416" s="72">
        <f t="shared" si="21"/>
        <v>148.68714285714287</v>
      </c>
      <c r="O416" s="72">
        <f t="shared" si="21"/>
        <v>11.580714285714286</v>
      </c>
      <c r="P416" s="6"/>
    </row>
    <row r="417" spans="1:15" s="11" customFormat="1" ht="31.5" x14ac:dyDescent="0.25">
      <c r="A417" s="65">
        <v>5</v>
      </c>
      <c r="B417" s="73" t="s">
        <v>313</v>
      </c>
      <c r="C417" s="74" t="s">
        <v>137</v>
      </c>
      <c r="D417" s="66">
        <v>1.3</v>
      </c>
      <c r="E417" s="66">
        <v>6.1</v>
      </c>
      <c r="F417" s="66">
        <v>2.8</v>
      </c>
      <c r="G417" s="66">
        <v>71</v>
      </c>
      <c r="H417" s="66">
        <v>0.03</v>
      </c>
      <c r="I417" s="66">
        <v>13.3</v>
      </c>
      <c r="J417" s="66">
        <v>0</v>
      </c>
      <c r="K417" s="66">
        <v>2.7</v>
      </c>
      <c r="L417" s="66">
        <v>34.4</v>
      </c>
      <c r="M417" s="66">
        <v>30.5</v>
      </c>
      <c r="N417" s="66">
        <v>15.3</v>
      </c>
      <c r="O417" s="75">
        <v>0.56000000000000005</v>
      </c>
    </row>
    <row r="418" spans="1:15" ht="15.75" x14ac:dyDescent="0.25">
      <c r="A418" s="65"/>
      <c r="B418" s="76" t="s">
        <v>283</v>
      </c>
      <c r="C418" s="74">
        <v>47.4</v>
      </c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75"/>
    </row>
    <row r="419" spans="1:15" ht="15.75" x14ac:dyDescent="0.25">
      <c r="A419" s="65"/>
      <c r="B419" s="76" t="s">
        <v>314</v>
      </c>
      <c r="C419" s="74">
        <v>0.25</v>
      </c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75"/>
    </row>
    <row r="420" spans="1:15" ht="15.75" x14ac:dyDescent="0.25">
      <c r="A420" s="65"/>
      <c r="B420" s="76" t="s">
        <v>143</v>
      </c>
      <c r="C420" s="74">
        <v>55.2</v>
      </c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75"/>
    </row>
    <row r="421" spans="1:15" ht="15.75" x14ac:dyDescent="0.25">
      <c r="A421" s="65"/>
      <c r="B421" s="76" t="s">
        <v>147</v>
      </c>
      <c r="C421" s="74">
        <v>5</v>
      </c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75"/>
    </row>
    <row r="422" spans="1:15" ht="15.75" x14ac:dyDescent="0.25">
      <c r="A422" s="65"/>
      <c r="B422" s="76" t="s">
        <v>146</v>
      </c>
      <c r="C422" s="74">
        <v>6</v>
      </c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75"/>
    </row>
    <row r="423" spans="1:15" s="11" customFormat="1" ht="15.75" x14ac:dyDescent="0.25">
      <c r="A423" s="65">
        <v>111</v>
      </c>
      <c r="B423" s="73" t="s">
        <v>23</v>
      </c>
      <c r="C423" s="74" t="s">
        <v>129</v>
      </c>
      <c r="D423" s="66">
        <v>7.48</v>
      </c>
      <c r="E423" s="66">
        <v>11.07</v>
      </c>
      <c r="F423" s="66">
        <v>3.05</v>
      </c>
      <c r="G423" s="66">
        <v>142.25</v>
      </c>
      <c r="H423" s="66">
        <v>0.05</v>
      </c>
      <c r="I423" s="66">
        <v>3.1749999999999998</v>
      </c>
      <c r="J423" s="66">
        <v>0.05</v>
      </c>
      <c r="K423" s="66">
        <v>0.625</v>
      </c>
      <c r="L423" s="66">
        <v>29.5</v>
      </c>
      <c r="M423" s="66">
        <v>194.5</v>
      </c>
      <c r="N423" s="66">
        <v>22.75</v>
      </c>
      <c r="O423" s="75">
        <v>1.075</v>
      </c>
    </row>
    <row r="424" spans="1:15" ht="15.75" x14ac:dyDescent="0.25">
      <c r="A424" s="65"/>
      <c r="B424" s="76" t="s">
        <v>154</v>
      </c>
      <c r="C424" s="74">
        <v>29.62</v>
      </c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75"/>
    </row>
    <row r="425" spans="1:15" ht="15.75" x14ac:dyDescent="0.25">
      <c r="A425" s="65"/>
      <c r="B425" s="76" t="s">
        <v>139</v>
      </c>
      <c r="C425" s="74">
        <v>12.5</v>
      </c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75"/>
    </row>
    <row r="426" spans="1:15" ht="15.75" x14ac:dyDescent="0.25">
      <c r="A426" s="65"/>
      <c r="B426" s="76" t="s">
        <v>131</v>
      </c>
      <c r="C426" s="74">
        <v>5</v>
      </c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75"/>
    </row>
    <row r="427" spans="1:15" ht="15.75" x14ac:dyDescent="0.25">
      <c r="A427" s="65"/>
      <c r="B427" s="76" t="s">
        <v>155</v>
      </c>
      <c r="C427" s="74">
        <v>24.75</v>
      </c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75"/>
    </row>
    <row r="428" spans="1:15" ht="15.75" x14ac:dyDescent="0.25">
      <c r="A428" s="65"/>
      <c r="B428" s="76" t="s">
        <v>141</v>
      </c>
      <c r="C428" s="74">
        <v>24.55</v>
      </c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75"/>
    </row>
    <row r="429" spans="1:15" ht="15.75" x14ac:dyDescent="0.25">
      <c r="A429" s="65"/>
      <c r="B429" s="76" t="s">
        <v>156</v>
      </c>
      <c r="C429" s="74">
        <v>5.17</v>
      </c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75"/>
    </row>
    <row r="430" spans="1:15" ht="15.75" x14ac:dyDescent="0.25">
      <c r="A430" s="65"/>
      <c r="B430" s="76" t="s">
        <v>145</v>
      </c>
      <c r="C430" s="74">
        <v>225</v>
      </c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75"/>
    </row>
    <row r="431" spans="1:15" s="11" customFormat="1" ht="31.5" x14ac:dyDescent="0.25">
      <c r="A431" s="65">
        <v>372</v>
      </c>
      <c r="B431" s="73" t="s">
        <v>71</v>
      </c>
      <c r="C431" s="74" t="s">
        <v>137</v>
      </c>
      <c r="D431" s="66">
        <f>10.8/70*100</f>
        <v>15.428571428571431</v>
      </c>
      <c r="E431" s="66">
        <f>6.7/70*100</f>
        <v>9.5714285714285712</v>
      </c>
      <c r="F431" s="66">
        <f>6.2/70*100</f>
        <v>8.8571428571428577</v>
      </c>
      <c r="G431" s="66">
        <f>1.82857142857143*100</f>
        <v>182.857142857143</v>
      </c>
      <c r="H431" s="66">
        <f>0.05/70*100</f>
        <v>7.1428571428571425E-2</v>
      </c>
      <c r="I431" s="66">
        <f>0.6/70*100</f>
        <v>0.85714285714285721</v>
      </c>
      <c r="J431" s="66">
        <f>40.9/70*100</f>
        <v>58.428571428571431</v>
      </c>
      <c r="K431" s="66">
        <f>0.4/70*100</f>
        <v>0.5714285714285714</v>
      </c>
      <c r="L431" s="66">
        <f>27.7/70*100</f>
        <v>39.571428571428569</v>
      </c>
      <c r="M431" s="66">
        <f>68.8/70*100</f>
        <v>98.285714285714278</v>
      </c>
      <c r="N431" s="66">
        <f>13.2/70*100</f>
        <v>18.857142857142854</v>
      </c>
      <c r="O431" s="75">
        <f>0.97/70*100</f>
        <v>1.3857142857142857</v>
      </c>
    </row>
    <row r="432" spans="1:15" ht="15.75" x14ac:dyDescent="0.25">
      <c r="A432" s="65"/>
      <c r="B432" s="76" t="s">
        <v>279</v>
      </c>
      <c r="C432" s="74">
        <v>75.709999999999994</v>
      </c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75"/>
    </row>
    <row r="433" spans="1:16" ht="15.75" x14ac:dyDescent="0.25">
      <c r="A433" s="65"/>
      <c r="B433" s="76" t="s">
        <v>146</v>
      </c>
      <c r="C433" s="74">
        <v>2.85</v>
      </c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75"/>
    </row>
    <row r="434" spans="1:16" ht="15.75" x14ac:dyDescent="0.25">
      <c r="A434" s="65"/>
      <c r="B434" s="76" t="s">
        <v>134</v>
      </c>
      <c r="C434" s="74">
        <v>25.71</v>
      </c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75"/>
    </row>
    <row r="435" spans="1:16" ht="15.75" x14ac:dyDescent="0.25">
      <c r="A435" s="65"/>
      <c r="B435" s="76" t="s">
        <v>51</v>
      </c>
      <c r="C435" s="74">
        <v>18.57</v>
      </c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75"/>
    </row>
    <row r="436" spans="1:16" s="11" customFormat="1" ht="15.75" x14ac:dyDescent="0.25">
      <c r="A436" s="65">
        <v>156</v>
      </c>
      <c r="B436" s="73" t="s">
        <v>72</v>
      </c>
      <c r="C436" s="74">
        <v>180</v>
      </c>
      <c r="D436" s="66">
        <f>12.3/150*180</f>
        <v>14.76</v>
      </c>
      <c r="E436" s="66">
        <f>5.7/150*180</f>
        <v>6.84</v>
      </c>
      <c r="F436" s="66">
        <f>0.16*180</f>
        <v>28.8</v>
      </c>
      <c r="G436" s="66">
        <f>1.3*180</f>
        <v>234</v>
      </c>
      <c r="H436" s="66">
        <f>0.255/150*180</f>
        <v>0.30600000000000005</v>
      </c>
      <c r="I436" s="66">
        <f>0.6/150*180</f>
        <v>0.72</v>
      </c>
      <c r="J436" s="66">
        <f>25.05/150*180</f>
        <v>30.060000000000002</v>
      </c>
      <c r="K436" s="66">
        <f>0.45/150*180</f>
        <v>0.54</v>
      </c>
      <c r="L436" s="66">
        <f>54.75/150*180</f>
        <v>65.7</v>
      </c>
      <c r="M436" s="66">
        <f>123.6/150*180</f>
        <v>148.32</v>
      </c>
      <c r="N436" s="66">
        <f>49.65/150*180</f>
        <v>59.580000000000005</v>
      </c>
      <c r="O436" s="75">
        <v>5.6</v>
      </c>
    </row>
    <row r="437" spans="1:16" ht="15.75" x14ac:dyDescent="0.25">
      <c r="A437" s="65"/>
      <c r="B437" s="76" t="s">
        <v>203</v>
      </c>
      <c r="C437" s="74">
        <f>53.7/150*180</f>
        <v>64.440000000000012</v>
      </c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75"/>
    </row>
    <row r="438" spans="1:16" ht="15.75" x14ac:dyDescent="0.25">
      <c r="A438" s="65"/>
      <c r="B438" s="76" t="s">
        <v>328</v>
      </c>
      <c r="C438" s="74">
        <f>1.5/150*180</f>
        <v>1.8</v>
      </c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75"/>
    </row>
    <row r="439" spans="1:16" ht="15.75" x14ac:dyDescent="0.25">
      <c r="A439" s="65"/>
      <c r="B439" s="76" t="s">
        <v>131</v>
      </c>
      <c r="C439" s="74">
        <f>6.6/150*180</f>
        <v>7.92</v>
      </c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75"/>
    </row>
    <row r="440" spans="1:16" s="11" customFormat="1" ht="15.75" x14ac:dyDescent="0.25">
      <c r="A440" s="65">
        <v>486</v>
      </c>
      <c r="B440" s="73" t="s">
        <v>282</v>
      </c>
      <c r="C440" s="74" t="s">
        <v>135</v>
      </c>
      <c r="D440" s="66">
        <v>0.1</v>
      </c>
      <c r="E440" s="66">
        <v>0.1</v>
      </c>
      <c r="F440" s="66">
        <v>11.1</v>
      </c>
      <c r="G440" s="66">
        <v>46</v>
      </c>
      <c r="H440" s="66">
        <v>0.01</v>
      </c>
      <c r="I440" s="66">
        <v>0.6</v>
      </c>
      <c r="J440" s="66">
        <v>0</v>
      </c>
      <c r="K440" s="66">
        <v>0.04</v>
      </c>
      <c r="L440" s="66">
        <v>3.4</v>
      </c>
      <c r="M440" s="66">
        <v>2.1</v>
      </c>
      <c r="N440" s="66">
        <v>1.7</v>
      </c>
      <c r="O440" s="75">
        <v>0.46</v>
      </c>
    </row>
    <row r="441" spans="1:16" ht="15.75" x14ac:dyDescent="0.25">
      <c r="A441" s="65"/>
      <c r="B441" s="76" t="s">
        <v>340</v>
      </c>
      <c r="C441" s="74">
        <v>23</v>
      </c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75"/>
    </row>
    <row r="442" spans="1:16" ht="15.75" x14ac:dyDescent="0.25">
      <c r="A442" s="65"/>
      <c r="B442" s="76" t="s">
        <v>130</v>
      </c>
      <c r="C442" s="74">
        <v>10</v>
      </c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75"/>
    </row>
    <row r="443" spans="1:16" ht="15.75" x14ac:dyDescent="0.25">
      <c r="A443" s="65"/>
      <c r="B443" s="76" t="s">
        <v>147</v>
      </c>
      <c r="C443" s="74">
        <v>10</v>
      </c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75"/>
    </row>
    <row r="444" spans="1:16" s="11" customFormat="1" ht="15.75" x14ac:dyDescent="0.25">
      <c r="A444" s="65"/>
      <c r="B444" s="73" t="s">
        <v>51</v>
      </c>
      <c r="C444" s="74">
        <v>40</v>
      </c>
      <c r="D444" s="66">
        <v>3.8</v>
      </c>
      <c r="E444" s="66">
        <v>0.4</v>
      </c>
      <c r="F444" s="66">
        <v>24.6</v>
      </c>
      <c r="G444" s="66">
        <v>117.5</v>
      </c>
      <c r="H444" s="66">
        <v>5.5E-2</v>
      </c>
      <c r="I444" s="66">
        <v>0</v>
      </c>
      <c r="J444" s="66">
        <v>0</v>
      </c>
      <c r="K444" s="66">
        <v>0.55000000000000004</v>
      </c>
      <c r="L444" s="66">
        <v>10</v>
      </c>
      <c r="M444" s="66">
        <v>32.5</v>
      </c>
      <c r="N444" s="66">
        <v>7</v>
      </c>
      <c r="O444" s="75">
        <v>0.55000000000000004</v>
      </c>
    </row>
    <row r="445" spans="1:16" s="11" customFormat="1" ht="15.75" x14ac:dyDescent="0.25">
      <c r="A445" s="65"/>
      <c r="B445" s="73" t="s">
        <v>32</v>
      </c>
      <c r="C445" s="74">
        <v>40</v>
      </c>
      <c r="D445" s="66">
        <v>3.3</v>
      </c>
      <c r="E445" s="66">
        <v>0.6</v>
      </c>
      <c r="F445" s="66">
        <v>16.7</v>
      </c>
      <c r="G445" s="66">
        <v>87</v>
      </c>
      <c r="H445" s="66">
        <v>0.09</v>
      </c>
      <c r="I445" s="66">
        <v>0</v>
      </c>
      <c r="J445" s="66">
        <v>0</v>
      </c>
      <c r="K445" s="66">
        <v>0.7</v>
      </c>
      <c r="L445" s="66">
        <v>17.5</v>
      </c>
      <c r="M445" s="66">
        <v>79</v>
      </c>
      <c r="N445" s="66">
        <v>23.5</v>
      </c>
      <c r="O445" s="75">
        <v>1.95</v>
      </c>
    </row>
    <row r="446" spans="1:16" s="10" customFormat="1" ht="15.75" x14ac:dyDescent="0.25">
      <c r="A446" s="26"/>
      <c r="B446" s="73" t="s">
        <v>354</v>
      </c>
      <c r="C446" s="71"/>
      <c r="D446" s="72">
        <f>D447+D452+D458+D465+D476+D479+D480</f>
        <v>31.93</v>
      </c>
      <c r="E446" s="72">
        <f t="shared" ref="E446:O446" si="22">E447+E452+E458+E465+E476+E479+E480</f>
        <v>36.880000000000003</v>
      </c>
      <c r="F446" s="72">
        <f t="shared" si="22"/>
        <v>87.530000000000015</v>
      </c>
      <c r="G446" s="72">
        <f t="shared" si="22"/>
        <v>811.85</v>
      </c>
      <c r="H446" s="72">
        <f t="shared" si="22"/>
        <v>0.45299999999999996</v>
      </c>
      <c r="I446" s="72">
        <f t="shared" si="22"/>
        <v>21.66</v>
      </c>
      <c r="J446" s="72">
        <f t="shared" si="22"/>
        <v>48.16</v>
      </c>
      <c r="K446" s="72">
        <f t="shared" si="22"/>
        <v>11.52</v>
      </c>
      <c r="L446" s="72">
        <f t="shared" si="22"/>
        <v>183.98000000000002</v>
      </c>
      <c r="M446" s="72">
        <f t="shared" si="22"/>
        <v>497.77</v>
      </c>
      <c r="N446" s="72">
        <f t="shared" si="22"/>
        <v>119.12</v>
      </c>
      <c r="O446" s="72">
        <f t="shared" si="22"/>
        <v>7.5149999999999997</v>
      </c>
      <c r="P446" s="6"/>
    </row>
    <row r="447" spans="1:16" s="11" customFormat="1" ht="31.5" x14ac:dyDescent="0.25">
      <c r="A447" s="65">
        <v>25</v>
      </c>
      <c r="B447" s="73" t="s">
        <v>73</v>
      </c>
      <c r="C447" s="74" t="s">
        <v>137</v>
      </c>
      <c r="D447" s="66">
        <v>1.9</v>
      </c>
      <c r="E447" s="66">
        <v>6.1</v>
      </c>
      <c r="F447" s="66">
        <v>5.8</v>
      </c>
      <c r="G447" s="66">
        <v>86</v>
      </c>
      <c r="H447" s="66">
        <v>0.06</v>
      </c>
      <c r="I447" s="66">
        <v>1.8</v>
      </c>
      <c r="J447" s="66">
        <v>0</v>
      </c>
      <c r="K447" s="66">
        <v>3.8</v>
      </c>
      <c r="L447" s="66">
        <v>22.6</v>
      </c>
      <c r="M447" s="66">
        <v>51.4</v>
      </c>
      <c r="N447" s="66">
        <v>27.6</v>
      </c>
      <c r="O447" s="75">
        <v>0.63</v>
      </c>
    </row>
    <row r="448" spans="1:16" ht="31.5" x14ac:dyDescent="0.25">
      <c r="A448" s="65"/>
      <c r="B448" s="76" t="s">
        <v>208</v>
      </c>
      <c r="C448" s="74">
        <v>40.299999999999997</v>
      </c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75"/>
    </row>
    <row r="449" spans="1:15" ht="15.75" x14ac:dyDescent="0.25">
      <c r="A449" s="65"/>
      <c r="B449" s="76" t="s">
        <v>314</v>
      </c>
      <c r="C449" s="74">
        <v>0.25</v>
      </c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75"/>
    </row>
    <row r="450" spans="1:15" ht="15.75" x14ac:dyDescent="0.25">
      <c r="A450" s="65"/>
      <c r="B450" s="76" t="s">
        <v>142</v>
      </c>
      <c r="C450" s="74">
        <v>54.6</v>
      </c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75"/>
    </row>
    <row r="451" spans="1:15" ht="15.75" x14ac:dyDescent="0.25">
      <c r="A451" s="65"/>
      <c r="B451" s="76" t="s">
        <v>146</v>
      </c>
      <c r="C451" s="74">
        <v>6</v>
      </c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75"/>
    </row>
    <row r="452" spans="1:15" s="11" customFormat="1" ht="15.75" x14ac:dyDescent="0.25">
      <c r="A452" s="65">
        <v>126</v>
      </c>
      <c r="B452" s="73" t="s">
        <v>204</v>
      </c>
      <c r="C452" s="74" t="s">
        <v>129</v>
      </c>
      <c r="D452" s="66">
        <v>3.2</v>
      </c>
      <c r="E452" s="66">
        <v>5.17</v>
      </c>
      <c r="F452" s="66">
        <v>15.2</v>
      </c>
      <c r="G452" s="66">
        <v>120.25</v>
      </c>
      <c r="H452" s="66">
        <v>0.105</v>
      </c>
      <c r="I452" s="66">
        <v>0.7</v>
      </c>
      <c r="J452" s="66">
        <v>0</v>
      </c>
      <c r="K452" s="66">
        <v>2.37</v>
      </c>
      <c r="L452" s="66">
        <v>21.15</v>
      </c>
      <c r="M452" s="66">
        <v>75.349999999999994</v>
      </c>
      <c r="N452" s="66">
        <v>4.3</v>
      </c>
      <c r="O452" s="75">
        <v>1.02</v>
      </c>
    </row>
    <row r="453" spans="1:15" ht="15.75" x14ac:dyDescent="0.25">
      <c r="A453" s="65"/>
      <c r="B453" s="76" t="s">
        <v>141</v>
      </c>
      <c r="C453" s="74">
        <v>10</v>
      </c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75"/>
    </row>
    <row r="454" spans="1:15" ht="15.75" x14ac:dyDescent="0.25">
      <c r="A454" s="65"/>
      <c r="B454" s="76" t="s">
        <v>314</v>
      </c>
      <c r="C454" s="74">
        <v>2</v>
      </c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75"/>
    </row>
    <row r="455" spans="1:15" ht="15.75" x14ac:dyDescent="0.25">
      <c r="A455" s="65"/>
      <c r="B455" s="76" t="s">
        <v>142</v>
      </c>
      <c r="C455" s="74">
        <v>9.75</v>
      </c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75"/>
    </row>
    <row r="456" spans="1:15" ht="15.75" x14ac:dyDescent="0.25">
      <c r="A456" s="65"/>
      <c r="B456" s="76" t="s">
        <v>332</v>
      </c>
      <c r="C456" s="74">
        <v>25</v>
      </c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75"/>
    </row>
    <row r="457" spans="1:15" ht="15.75" x14ac:dyDescent="0.25">
      <c r="A457" s="65"/>
      <c r="B457" s="76" t="s">
        <v>146</v>
      </c>
      <c r="C457" s="74">
        <v>5</v>
      </c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75"/>
    </row>
    <row r="458" spans="1:15" s="11" customFormat="1" ht="15.75" x14ac:dyDescent="0.25">
      <c r="A458" s="65">
        <v>337</v>
      </c>
      <c r="B458" s="73" t="s">
        <v>74</v>
      </c>
      <c r="C458" s="74" t="s">
        <v>137</v>
      </c>
      <c r="D458" s="66">
        <v>16.2</v>
      </c>
      <c r="E458" s="66">
        <v>12.9</v>
      </c>
      <c r="F458" s="66">
        <v>5.8</v>
      </c>
      <c r="G458" s="66">
        <v>205</v>
      </c>
      <c r="H458" s="66">
        <v>7.0000000000000007E-2</v>
      </c>
      <c r="I458" s="66">
        <v>0.5</v>
      </c>
      <c r="J458" s="66">
        <v>8.1999999999999993</v>
      </c>
      <c r="K458" s="66">
        <v>0.4</v>
      </c>
      <c r="L458" s="66">
        <v>54.2</v>
      </c>
      <c r="M458" s="66">
        <v>185.8</v>
      </c>
      <c r="N458" s="66">
        <v>23.8</v>
      </c>
      <c r="O458" s="75">
        <v>2.31</v>
      </c>
    </row>
    <row r="459" spans="1:15" ht="31.5" x14ac:dyDescent="0.25">
      <c r="A459" s="65"/>
      <c r="B459" s="76" t="s">
        <v>172</v>
      </c>
      <c r="C459" s="74">
        <v>82</v>
      </c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75"/>
    </row>
    <row r="460" spans="1:15" ht="15.75" x14ac:dyDescent="0.25">
      <c r="A460" s="65"/>
      <c r="B460" s="76" t="s">
        <v>131</v>
      </c>
      <c r="C460" s="74">
        <v>2</v>
      </c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75"/>
    </row>
    <row r="461" spans="1:15" ht="15.75" x14ac:dyDescent="0.25">
      <c r="A461" s="65"/>
      <c r="B461" s="76" t="s">
        <v>314</v>
      </c>
      <c r="C461" s="74">
        <v>0.4</v>
      </c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75"/>
    </row>
    <row r="462" spans="1:15" ht="15.75" x14ac:dyDescent="0.25">
      <c r="A462" s="65"/>
      <c r="B462" s="76" t="s">
        <v>185</v>
      </c>
      <c r="C462" s="74">
        <v>6.6</v>
      </c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75"/>
    </row>
    <row r="463" spans="1:15" ht="15.75" x14ac:dyDescent="0.25">
      <c r="A463" s="65"/>
      <c r="B463" s="76" t="s">
        <v>134</v>
      </c>
      <c r="C463" s="74">
        <v>41</v>
      </c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75"/>
    </row>
    <row r="464" spans="1:15" ht="15.75" x14ac:dyDescent="0.25">
      <c r="A464" s="65"/>
      <c r="B464" s="76" t="s">
        <v>51</v>
      </c>
      <c r="C464" s="74">
        <v>9</v>
      </c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75"/>
    </row>
    <row r="465" spans="1:15" s="11" customFormat="1" ht="15.75" x14ac:dyDescent="0.25">
      <c r="A465" s="65">
        <v>178</v>
      </c>
      <c r="B465" s="73" t="s">
        <v>75</v>
      </c>
      <c r="C465" s="74">
        <v>180</v>
      </c>
      <c r="D465" s="66">
        <f>3.7/200*180</f>
        <v>3.3300000000000005</v>
      </c>
      <c r="E465" s="66">
        <f>12.9/200*180</f>
        <v>11.61</v>
      </c>
      <c r="F465" s="66">
        <f>9.7/200*180</f>
        <v>8.7299999999999986</v>
      </c>
      <c r="G465" s="66">
        <f>0.845*180</f>
        <v>152.1</v>
      </c>
      <c r="H465" s="66">
        <f>0.07/200*180</f>
        <v>6.3000000000000014E-2</v>
      </c>
      <c r="I465" s="66">
        <f>2.4/200*180</f>
        <v>2.16</v>
      </c>
      <c r="J465" s="66">
        <f>44.4/200*180</f>
        <v>39.96</v>
      </c>
      <c r="K465" s="66">
        <f>0.02*180</f>
        <v>3.6</v>
      </c>
      <c r="L465" s="66">
        <f>56.7/200*180</f>
        <v>51.030000000000008</v>
      </c>
      <c r="M465" s="66">
        <f>74.8/200*180</f>
        <v>67.319999999999993</v>
      </c>
      <c r="N465" s="66">
        <f>29.8/200*180</f>
        <v>26.82</v>
      </c>
      <c r="O465" s="75">
        <f>0.85/200*180</f>
        <v>0.76500000000000001</v>
      </c>
    </row>
    <row r="466" spans="1:15" ht="15.75" x14ac:dyDescent="0.25">
      <c r="A466" s="65"/>
      <c r="B466" s="76" t="s">
        <v>207</v>
      </c>
      <c r="C466" s="74">
        <f>32.1/200*180</f>
        <v>28.89</v>
      </c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75"/>
    </row>
    <row r="467" spans="1:15" ht="15.75" x14ac:dyDescent="0.25">
      <c r="A467" s="65"/>
      <c r="B467" s="76" t="s">
        <v>143</v>
      </c>
      <c r="C467" s="74">
        <f>40/200*180</f>
        <v>36</v>
      </c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75"/>
    </row>
    <row r="468" spans="1:15" ht="15.75" x14ac:dyDescent="0.25">
      <c r="A468" s="65"/>
      <c r="B468" s="76" t="s">
        <v>171</v>
      </c>
      <c r="C468" s="74">
        <f>64.5/200*180</f>
        <v>58.050000000000004</v>
      </c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75"/>
    </row>
    <row r="469" spans="1:15" ht="15.75" x14ac:dyDescent="0.25">
      <c r="A469" s="65"/>
      <c r="B469" s="76" t="s">
        <v>142</v>
      </c>
      <c r="C469" s="74">
        <f>31.2/200*180</f>
        <v>28.08</v>
      </c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75"/>
    </row>
    <row r="470" spans="1:15" ht="15.75" x14ac:dyDescent="0.25">
      <c r="A470" s="65"/>
      <c r="B470" s="76" t="s">
        <v>146</v>
      </c>
      <c r="C470" s="74">
        <f>8/200*180</f>
        <v>7.2</v>
      </c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75"/>
    </row>
    <row r="471" spans="1:15" ht="31.5" x14ac:dyDescent="0.25">
      <c r="A471" s="65"/>
      <c r="B471" s="76" t="s">
        <v>208</v>
      </c>
      <c r="C471" s="74">
        <f>9.7/200*180</f>
        <v>8.7299999999999986</v>
      </c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75"/>
    </row>
    <row r="472" spans="1:15" ht="15.75" x14ac:dyDescent="0.25">
      <c r="A472" s="65"/>
      <c r="B472" s="76" t="s">
        <v>140</v>
      </c>
      <c r="C472" s="74">
        <f>30/200*180</f>
        <v>27</v>
      </c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75"/>
    </row>
    <row r="473" spans="1:15" ht="15.75" x14ac:dyDescent="0.25">
      <c r="A473" s="65"/>
      <c r="B473" s="76" t="s">
        <v>159</v>
      </c>
      <c r="C473" s="74">
        <f>4.8/200*180</f>
        <v>4.32</v>
      </c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75"/>
    </row>
    <row r="474" spans="1:15" ht="15.75" x14ac:dyDescent="0.25">
      <c r="A474" s="65"/>
      <c r="B474" s="76" t="s">
        <v>314</v>
      </c>
      <c r="C474" s="74">
        <f>1/200*180</f>
        <v>0.9</v>
      </c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75"/>
    </row>
    <row r="475" spans="1:15" ht="15.75" x14ac:dyDescent="0.25">
      <c r="A475" s="65"/>
      <c r="B475" s="76" t="s">
        <v>131</v>
      </c>
      <c r="C475" s="74">
        <f>4.8/200*180</f>
        <v>4.32</v>
      </c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75"/>
    </row>
    <row r="476" spans="1:15" s="11" customFormat="1" ht="15.75" x14ac:dyDescent="0.25">
      <c r="A476" s="65">
        <v>491</v>
      </c>
      <c r="B476" s="73" t="s">
        <v>352</v>
      </c>
      <c r="C476" s="74" t="s">
        <v>135</v>
      </c>
      <c r="D476" s="66">
        <v>0.2</v>
      </c>
      <c r="E476" s="66">
        <v>0.1</v>
      </c>
      <c r="F476" s="66">
        <v>10.7</v>
      </c>
      <c r="G476" s="66">
        <v>44</v>
      </c>
      <c r="H476" s="66">
        <v>0.01</v>
      </c>
      <c r="I476" s="66">
        <v>16.5</v>
      </c>
      <c r="J476" s="66">
        <v>0</v>
      </c>
      <c r="K476" s="66">
        <v>0.1</v>
      </c>
      <c r="L476" s="66">
        <v>7.5</v>
      </c>
      <c r="M476" s="66">
        <v>6.4</v>
      </c>
      <c r="N476" s="66">
        <v>6.1</v>
      </c>
      <c r="O476" s="75">
        <v>0.28999999999999998</v>
      </c>
    </row>
    <row r="477" spans="1:15" ht="15.75" x14ac:dyDescent="0.25">
      <c r="A477" s="65"/>
      <c r="B477" s="76" t="s">
        <v>374</v>
      </c>
      <c r="C477" s="74">
        <v>20</v>
      </c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75"/>
    </row>
    <row r="478" spans="1:15" ht="15.75" x14ac:dyDescent="0.25">
      <c r="A478" s="65"/>
      <c r="B478" s="76" t="s">
        <v>130</v>
      </c>
      <c r="C478" s="74">
        <v>10</v>
      </c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75"/>
    </row>
    <row r="479" spans="1:15" s="11" customFormat="1" ht="15.75" x14ac:dyDescent="0.25">
      <c r="A479" s="65"/>
      <c r="B479" s="73" t="s">
        <v>51</v>
      </c>
      <c r="C479" s="74">
        <v>40</v>
      </c>
      <c r="D479" s="66">
        <v>3.8</v>
      </c>
      <c r="E479" s="66">
        <v>0.4</v>
      </c>
      <c r="F479" s="66">
        <v>24.6</v>
      </c>
      <c r="G479" s="66">
        <v>117.5</v>
      </c>
      <c r="H479" s="66">
        <v>5.5E-2</v>
      </c>
      <c r="I479" s="66">
        <v>0</v>
      </c>
      <c r="J479" s="66">
        <v>0</v>
      </c>
      <c r="K479" s="66">
        <v>0.55000000000000004</v>
      </c>
      <c r="L479" s="66">
        <v>10</v>
      </c>
      <c r="M479" s="66">
        <v>32.5</v>
      </c>
      <c r="N479" s="66">
        <v>7</v>
      </c>
      <c r="O479" s="75">
        <v>0.55000000000000004</v>
      </c>
    </row>
    <row r="480" spans="1:15" s="11" customFormat="1" ht="15.75" x14ac:dyDescent="0.25">
      <c r="A480" s="65"/>
      <c r="B480" s="73" t="s">
        <v>32</v>
      </c>
      <c r="C480" s="74">
        <v>40</v>
      </c>
      <c r="D480" s="66">
        <v>3.3</v>
      </c>
      <c r="E480" s="66">
        <v>0.6</v>
      </c>
      <c r="F480" s="66">
        <v>16.7</v>
      </c>
      <c r="G480" s="66">
        <v>87</v>
      </c>
      <c r="H480" s="66">
        <v>0.09</v>
      </c>
      <c r="I480" s="66">
        <v>0</v>
      </c>
      <c r="J480" s="66">
        <v>0</v>
      </c>
      <c r="K480" s="66">
        <v>0.7</v>
      </c>
      <c r="L480" s="66">
        <v>17.5</v>
      </c>
      <c r="M480" s="66">
        <v>79</v>
      </c>
      <c r="N480" s="66">
        <v>23.5</v>
      </c>
      <c r="O480" s="75">
        <v>1.95</v>
      </c>
    </row>
    <row r="481" spans="1:16" s="10" customFormat="1" ht="15.75" x14ac:dyDescent="0.25">
      <c r="A481" s="26"/>
      <c r="B481" s="73" t="s">
        <v>349</v>
      </c>
      <c r="C481" s="71"/>
      <c r="D481" s="72">
        <f>D482+D491</f>
        <v>42</v>
      </c>
      <c r="E481" s="72">
        <f t="shared" ref="E481:O481" si="23">E482+E491</f>
        <v>31.060000000000002</v>
      </c>
      <c r="F481" s="72">
        <f t="shared" si="23"/>
        <v>58.34</v>
      </c>
      <c r="G481" s="72">
        <f t="shared" si="23"/>
        <v>688.66</v>
      </c>
      <c r="H481" s="72">
        <f t="shared" si="23"/>
        <v>1.26</v>
      </c>
      <c r="I481" s="72">
        <f t="shared" si="23"/>
        <v>1.74</v>
      </c>
      <c r="J481" s="72">
        <f t="shared" si="23"/>
        <v>12.04</v>
      </c>
      <c r="K481" s="72">
        <f t="shared" si="23"/>
        <v>1.06</v>
      </c>
      <c r="L481" s="72">
        <f t="shared" si="23"/>
        <v>511.34</v>
      </c>
      <c r="M481" s="72">
        <f t="shared" si="23"/>
        <v>592.66000000000008</v>
      </c>
      <c r="N481" s="72">
        <f t="shared" si="23"/>
        <v>70.66</v>
      </c>
      <c r="O481" s="72">
        <f t="shared" si="23"/>
        <v>1.54</v>
      </c>
      <c r="P481" s="6"/>
    </row>
    <row r="482" spans="1:16" s="11" customFormat="1" ht="31.5" x14ac:dyDescent="0.25">
      <c r="A482" s="65">
        <v>286</v>
      </c>
      <c r="B482" s="73" t="s">
        <v>76</v>
      </c>
      <c r="C482" s="74" t="s">
        <v>135</v>
      </c>
      <c r="D482" s="66">
        <v>32</v>
      </c>
      <c r="E482" s="66">
        <v>24.66</v>
      </c>
      <c r="F482" s="66">
        <v>41.34</v>
      </c>
      <c r="G482" s="66">
        <v>514.66</v>
      </c>
      <c r="H482" s="66">
        <v>1.2</v>
      </c>
      <c r="I482" s="66">
        <v>0.54</v>
      </c>
      <c r="J482" s="66">
        <v>12</v>
      </c>
      <c r="K482" s="66">
        <v>1.06</v>
      </c>
      <c r="L482" s="66">
        <v>273.33999999999997</v>
      </c>
      <c r="M482" s="66">
        <v>410.66</v>
      </c>
      <c r="N482" s="66">
        <v>42.66</v>
      </c>
      <c r="O482" s="75">
        <v>1.34</v>
      </c>
    </row>
    <row r="483" spans="1:16" ht="15.75" x14ac:dyDescent="0.25">
      <c r="A483" s="65"/>
      <c r="B483" s="76" t="s">
        <v>181</v>
      </c>
      <c r="C483" s="74">
        <v>14.66</v>
      </c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75"/>
    </row>
    <row r="484" spans="1:16" ht="15.75" x14ac:dyDescent="0.25">
      <c r="A484" s="65"/>
      <c r="B484" s="76" t="s">
        <v>130</v>
      </c>
      <c r="C484" s="74">
        <v>20</v>
      </c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75"/>
    </row>
    <row r="485" spans="1:16" ht="15.75" x14ac:dyDescent="0.25">
      <c r="A485" s="65"/>
      <c r="B485" s="76" t="s">
        <v>131</v>
      </c>
      <c r="C485" s="74">
        <v>2.66</v>
      </c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75"/>
    </row>
    <row r="486" spans="1:16" ht="15.75" x14ac:dyDescent="0.25">
      <c r="A486" s="65"/>
      <c r="B486" s="76" t="s">
        <v>183</v>
      </c>
      <c r="C486" s="74">
        <v>180</v>
      </c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75"/>
    </row>
    <row r="487" spans="1:16" ht="15.75" x14ac:dyDescent="0.25">
      <c r="A487" s="65"/>
      <c r="B487" s="76" t="s">
        <v>140</v>
      </c>
      <c r="C487" s="74">
        <v>6.66</v>
      </c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75"/>
    </row>
    <row r="488" spans="1:16" ht="15.75" x14ac:dyDescent="0.25">
      <c r="A488" s="65"/>
      <c r="B488" s="76" t="s">
        <v>159</v>
      </c>
      <c r="C488" s="74">
        <v>13.34</v>
      </c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75"/>
    </row>
    <row r="489" spans="1:16" ht="15.75" x14ac:dyDescent="0.25">
      <c r="A489" s="65"/>
      <c r="B489" s="76" t="s">
        <v>184</v>
      </c>
      <c r="C489" s="74">
        <v>0.02</v>
      </c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75"/>
    </row>
    <row r="490" spans="1:16" ht="15.75" x14ac:dyDescent="0.25">
      <c r="A490" s="65"/>
      <c r="B490" s="76" t="s">
        <v>185</v>
      </c>
      <c r="C490" s="74">
        <v>6.66</v>
      </c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75"/>
    </row>
    <row r="491" spans="1:16" s="11" customFormat="1" ht="16.5" thickBot="1" x14ac:dyDescent="0.3">
      <c r="A491" s="65"/>
      <c r="B491" s="73" t="s">
        <v>77</v>
      </c>
      <c r="C491" s="74" t="s">
        <v>135</v>
      </c>
      <c r="D491" s="66">
        <v>10</v>
      </c>
      <c r="E491" s="66">
        <v>6.4</v>
      </c>
      <c r="F491" s="66">
        <v>17</v>
      </c>
      <c r="G491" s="66">
        <v>174</v>
      </c>
      <c r="H491" s="66">
        <v>0.06</v>
      </c>
      <c r="I491" s="66">
        <v>1.2</v>
      </c>
      <c r="J491" s="66">
        <v>0.04</v>
      </c>
      <c r="K491" s="66">
        <v>0</v>
      </c>
      <c r="L491" s="66">
        <v>238</v>
      </c>
      <c r="M491" s="66">
        <v>182</v>
      </c>
      <c r="N491" s="66">
        <v>28</v>
      </c>
      <c r="O491" s="75">
        <v>0.2</v>
      </c>
    </row>
    <row r="492" spans="1:16" s="14" customFormat="1" ht="16.5" thickBot="1" x14ac:dyDescent="0.3">
      <c r="A492" s="12"/>
      <c r="B492" s="77" t="s">
        <v>29</v>
      </c>
      <c r="C492" s="78"/>
      <c r="D492" s="79">
        <f>D396+D416+D446+D481</f>
        <v>149.78357142857143</v>
      </c>
      <c r="E492" s="79">
        <f t="shared" ref="E492:O492" si="24">E396+E416+E446+E481</f>
        <v>126.26642857142858</v>
      </c>
      <c r="F492" s="79">
        <f t="shared" si="24"/>
        <v>346.53714285714284</v>
      </c>
      <c r="G492" s="79">
        <f t="shared" si="24"/>
        <v>3131.6571428571428</v>
      </c>
      <c r="H492" s="79">
        <f t="shared" si="24"/>
        <v>3.4199285714285717</v>
      </c>
      <c r="I492" s="79">
        <f t="shared" si="24"/>
        <v>45.478142857142863</v>
      </c>
      <c r="J492" s="79">
        <f t="shared" si="24"/>
        <v>208.62857142857143</v>
      </c>
      <c r="K492" s="79">
        <f t="shared" si="24"/>
        <v>20.40642857142857</v>
      </c>
      <c r="L492" s="79">
        <f t="shared" si="24"/>
        <v>1415.4324285714285</v>
      </c>
      <c r="M492" s="79">
        <f t="shared" si="24"/>
        <v>2243.1727142857144</v>
      </c>
      <c r="N492" s="79">
        <f t="shared" si="24"/>
        <v>437.98214285714289</v>
      </c>
      <c r="O492" s="79">
        <f t="shared" si="24"/>
        <v>25.784214285714285</v>
      </c>
      <c r="P492" s="13"/>
    </row>
    <row r="493" spans="1:16" s="1" customFormat="1" x14ac:dyDescent="0.25">
      <c r="A493" s="15"/>
      <c r="B493" s="16"/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6" s="1" customFormat="1" ht="18.75" x14ac:dyDescent="0.25">
      <c r="A494" s="2"/>
      <c r="B494" s="17" t="s">
        <v>251</v>
      </c>
      <c r="C494" s="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6" x14ac:dyDescent="0.2">
      <c r="A495" s="101"/>
      <c r="B495" s="102" t="s">
        <v>116</v>
      </c>
      <c r="C495" s="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6" ht="15.75" thickBot="1" x14ac:dyDescent="0.25">
      <c r="A496" s="101"/>
      <c r="B496" s="102"/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6" s="8" customFormat="1" ht="16.5" thickBot="1" x14ac:dyDescent="0.3">
      <c r="A497" s="103" t="s">
        <v>5</v>
      </c>
      <c r="B497" s="104" t="s">
        <v>117</v>
      </c>
      <c r="C497" s="105" t="s">
        <v>118</v>
      </c>
      <c r="D497" s="106" t="s">
        <v>3</v>
      </c>
      <c r="E497" s="106"/>
      <c r="F497" s="106"/>
      <c r="G497" s="106" t="s">
        <v>119</v>
      </c>
      <c r="H497" s="106" t="s">
        <v>1</v>
      </c>
      <c r="I497" s="106"/>
      <c r="J497" s="106"/>
      <c r="K497" s="106"/>
      <c r="L497" s="108" t="s">
        <v>2</v>
      </c>
      <c r="M497" s="108"/>
      <c r="N497" s="108"/>
      <c r="O497" s="108"/>
      <c r="P497" s="7"/>
    </row>
    <row r="498" spans="1:16" s="9" customFormat="1" ht="31.5" x14ac:dyDescent="0.25">
      <c r="A498" s="103"/>
      <c r="B498" s="104"/>
      <c r="C498" s="105"/>
      <c r="D498" s="63" t="s">
        <v>120</v>
      </c>
      <c r="E498" s="63" t="s">
        <v>121</v>
      </c>
      <c r="F498" s="63" t="s">
        <v>122</v>
      </c>
      <c r="G498" s="106"/>
      <c r="H498" s="63" t="s">
        <v>123</v>
      </c>
      <c r="I498" s="63" t="s">
        <v>124</v>
      </c>
      <c r="J498" s="63" t="s">
        <v>125</v>
      </c>
      <c r="K498" s="63" t="s">
        <v>126</v>
      </c>
      <c r="L498" s="63" t="s">
        <v>127</v>
      </c>
      <c r="M498" s="63" t="s">
        <v>128</v>
      </c>
      <c r="N498" s="63" t="s">
        <v>0</v>
      </c>
      <c r="O498" s="64" t="s">
        <v>4</v>
      </c>
      <c r="P498" s="1"/>
    </row>
    <row r="499" spans="1:16" s="10" customFormat="1" ht="15.75" x14ac:dyDescent="0.25">
      <c r="A499" s="26"/>
      <c r="B499" s="73" t="s">
        <v>368</v>
      </c>
      <c r="C499" s="71"/>
      <c r="D499" s="72">
        <f>D500+D508+D512+D512+D518+D521+D522</f>
        <v>25.159790940766552</v>
      </c>
      <c r="E499" s="72">
        <f t="shared" ref="E499:O499" si="25">E500+E508+E512+E518+E521+E522</f>
        <v>31.46926829268293</v>
      </c>
      <c r="F499" s="72">
        <f t="shared" si="25"/>
        <v>89.675609756097558</v>
      </c>
      <c r="G499" s="72">
        <f t="shared" si="25"/>
        <v>779.95512195121955</v>
      </c>
      <c r="H499" s="72">
        <f t="shared" si="25"/>
        <v>0.27360627177700347</v>
      </c>
      <c r="I499" s="72">
        <f t="shared" si="25"/>
        <v>1.5228571428571427</v>
      </c>
      <c r="J499" s="72">
        <f t="shared" si="25"/>
        <v>213.46700348432054</v>
      </c>
      <c r="K499" s="72">
        <f t="shared" si="25"/>
        <v>3.0001393728223</v>
      </c>
      <c r="L499" s="72">
        <f t="shared" si="25"/>
        <v>191.79421602787457</v>
      </c>
      <c r="M499" s="72">
        <f t="shared" si="25"/>
        <v>382.8087108013936</v>
      </c>
      <c r="N499" s="72">
        <f t="shared" si="25"/>
        <v>68.980487804878052</v>
      </c>
      <c r="O499" s="72">
        <f t="shared" si="25"/>
        <v>6.2423344947735195</v>
      </c>
      <c r="P499" s="6"/>
    </row>
    <row r="500" spans="1:16" s="11" customFormat="1" ht="15.75" x14ac:dyDescent="0.25">
      <c r="A500" s="65">
        <v>368</v>
      </c>
      <c r="B500" s="73" t="s">
        <v>78</v>
      </c>
      <c r="C500" s="74">
        <v>100</v>
      </c>
      <c r="D500" s="66">
        <f>12.8/70*10</f>
        <v>1.8285714285714285</v>
      </c>
      <c r="E500" s="66">
        <f>13.3/70*100</f>
        <v>19</v>
      </c>
      <c r="F500" s="66">
        <f>2.8/70*100</f>
        <v>4</v>
      </c>
      <c r="G500" s="66">
        <f>2.6*100</f>
        <v>260</v>
      </c>
      <c r="H500" s="66">
        <f>0.04/70*100</f>
        <v>5.7142857142857148E-2</v>
      </c>
      <c r="I500" s="66">
        <f>0.8/70*100</f>
        <v>1.1428571428571428</v>
      </c>
      <c r="J500" s="66">
        <f>100.2/70*100</f>
        <v>143.14285714285714</v>
      </c>
      <c r="K500" s="66">
        <f>0.5/70*100</f>
        <v>0.7142857142857143</v>
      </c>
      <c r="L500" s="66">
        <f>39.8/70*100</f>
        <v>56.857142857142847</v>
      </c>
      <c r="M500" s="66">
        <f>1.57142857142857*100</f>
        <v>157.142857142857</v>
      </c>
      <c r="N500" s="66">
        <f>11.9/70*100</f>
        <v>17</v>
      </c>
      <c r="O500" s="75">
        <f>1.13/70*100</f>
        <v>1.6142857142857143</v>
      </c>
    </row>
    <row r="501" spans="1:16" ht="15.75" x14ac:dyDescent="0.25">
      <c r="A501" s="65"/>
      <c r="B501" s="76" t="s">
        <v>279</v>
      </c>
      <c r="C501" s="74">
        <v>65.709999999999994</v>
      </c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75"/>
    </row>
    <row r="502" spans="1:16" ht="15.75" x14ac:dyDescent="0.25">
      <c r="A502" s="65"/>
      <c r="B502" s="76" t="s">
        <v>159</v>
      </c>
      <c r="C502" s="74">
        <v>3.85</v>
      </c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75"/>
    </row>
    <row r="503" spans="1:16" ht="15.75" x14ac:dyDescent="0.25">
      <c r="A503" s="65"/>
      <c r="B503" s="76" t="s">
        <v>134</v>
      </c>
      <c r="C503" s="74">
        <v>21.85</v>
      </c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75"/>
    </row>
    <row r="504" spans="1:16" s="24" customFormat="1" ht="15.75" x14ac:dyDescent="0.25">
      <c r="A504" s="87"/>
      <c r="B504" s="88" t="s">
        <v>131</v>
      </c>
      <c r="C504" s="89">
        <v>7.14</v>
      </c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2"/>
    </row>
    <row r="505" spans="1:16" s="24" customFormat="1" ht="15.75" x14ac:dyDescent="0.25">
      <c r="A505" s="87"/>
      <c r="B505" s="88" t="s">
        <v>146</v>
      </c>
      <c r="C505" s="89">
        <v>2.85</v>
      </c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2"/>
    </row>
    <row r="506" spans="1:16" s="24" customFormat="1" ht="15.75" x14ac:dyDescent="0.25">
      <c r="A506" s="87"/>
      <c r="B506" s="88" t="s">
        <v>20</v>
      </c>
      <c r="C506" s="89">
        <v>0.42</v>
      </c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2"/>
    </row>
    <row r="507" spans="1:16" s="24" customFormat="1" ht="15.75" x14ac:dyDescent="0.25">
      <c r="A507" s="87"/>
      <c r="B507" s="88" t="s">
        <v>185</v>
      </c>
      <c r="C507" s="89">
        <f>13.3/70*100</f>
        <v>19</v>
      </c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2"/>
    </row>
    <row r="508" spans="1:16" ht="15.75" x14ac:dyDescent="0.25">
      <c r="A508" s="93">
        <v>402</v>
      </c>
      <c r="B508" s="94" t="s">
        <v>79</v>
      </c>
      <c r="C508" s="89">
        <v>35</v>
      </c>
      <c r="D508" s="90">
        <v>1.28</v>
      </c>
      <c r="E508" s="90">
        <v>2.94</v>
      </c>
      <c r="F508" s="90">
        <v>2.5</v>
      </c>
      <c r="G508" s="90">
        <v>41.26</v>
      </c>
      <c r="H508" s="90">
        <v>0.01</v>
      </c>
      <c r="I508" s="90">
        <v>0.22</v>
      </c>
      <c r="J508" s="90">
        <v>17.29</v>
      </c>
      <c r="K508" s="90">
        <v>7.0000000000000007E-2</v>
      </c>
      <c r="L508" s="90">
        <v>39.799999999999997</v>
      </c>
      <c r="M508" s="90">
        <v>29.9</v>
      </c>
      <c r="N508" s="90">
        <v>4.9000000000000004</v>
      </c>
      <c r="O508" s="92">
        <v>7.0000000000000007E-2</v>
      </c>
    </row>
    <row r="509" spans="1:16" ht="15.75" x14ac:dyDescent="0.25">
      <c r="A509" s="87"/>
      <c r="B509" s="88" t="s">
        <v>159</v>
      </c>
      <c r="C509" s="89">
        <v>1.71</v>
      </c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2"/>
    </row>
    <row r="510" spans="1:16" ht="15.75" x14ac:dyDescent="0.25">
      <c r="A510" s="87"/>
      <c r="B510" s="88" t="s">
        <v>134</v>
      </c>
      <c r="C510" s="89">
        <v>21.34</v>
      </c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2"/>
    </row>
    <row r="511" spans="1:16" ht="15.75" x14ac:dyDescent="0.25">
      <c r="A511" s="87"/>
      <c r="B511" s="88" t="s">
        <v>131</v>
      </c>
      <c r="C511" s="89">
        <v>1.71</v>
      </c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2"/>
    </row>
    <row r="512" spans="1:16" s="11" customFormat="1" ht="31.5" x14ac:dyDescent="0.25">
      <c r="A512" s="65">
        <v>261</v>
      </c>
      <c r="B512" s="73" t="s">
        <v>80</v>
      </c>
      <c r="C512" s="74">
        <v>180</v>
      </c>
      <c r="D512" s="66">
        <f>8.4/205*180</f>
        <v>7.3756097560975613</v>
      </c>
      <c r="E512" s="66">
        <f>9.6/205*180</f>
        <v>8.4292682926829272</v>
      </c>
      <c r="F512" s="66">
        <f>37.1/205*180</f>
        <v>32.575609756097563</v>
      </c>
      <c r="G512" s="66">
        <f>1.31219512195122*180</f>
        <v>236.19512195121959</v>
      </c>
      <c r="H512" s="66">
        <f>0.07/205*180</f>
        <v>6.1463414634146347E-2</v>
      </c>
      <c r="I512" s="66">
        <v>0.16</v>
      </c>
      <c r="J512" s="66">
        <f>60.4/205*180</f>
        <v>53.034146341463412</v>
      </c>
      <c r="K512" s="66">
        <f>1.1/205*180</f>
        <v>0.96585365853658545</v>
      </c>
      <c r="L512" s="66">
        <f>71.2/205*180</f>
        <v>62.517073170731713</v>
      </c>
      <c r="M512" s="66">
        <f>87.2/205*180</f>
        <v>76.565853658536582</v>
      </c>
      <c r="N512" s="66">
        <f>14.1/205*180</f>
        <v>12.380487804878047</v>
      </c>
      <c r="O512" s="75">
        <f>1.41/205*180</f>
        <v>1.2380487804878049</v>
      </c>
    </row>
    <row r="513" spans="1:16" ht="15.75" x14ac:dyDescent="0.25">
      <c r="A513" s="65"/>
      <c r="B513" s="76" t="s">
        <v>167</v>
      </c>
      <c r="C513" s="74">
        <v>5</v>
      </c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75"/>
    </row>
    <row r="514" spans="1:16" ht="15.75" x14ac:dyDescent="0.25">
      <c r="A514" s="65"/>
      <c r="B514" s="76" t="s">
        <v>131</v>
      </c>
      <c r="C514" s="74">
        <v>8.7799999999999994</v>
      </c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75"/>
    </row>
    <row r="515" spans="1:16" ht="15.75" x14ac:dyDescent="0.25">
      <c r="A515" s="65"/>
      <c r="B515" s="76" t="s">
        <v>20</v>
      </c>
      <c r="C515" s="74">
        <v>3.51</v>
      </c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75"/>
    </row>
    <row r="516" spans="1:16" ht="15.75" x14ac:dyDescent="0.25">
      <c r="A516" s="65"/>
      <c r="B516" s="76" t="s">
        <v>160</v>
      </c>
      <c r="C516" s="74">
        <v>56.19</v>
      </c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75"/>
    </row>
    <row r="517" spans="1:16" ht="15.75" x14ac:dyDescent="0.25">
      <c r="A517" s="65"/>
      <c r="B517" s="76" t="s">
        <v>146</v>
      </c>
      <c r="C517" s="74">
        <v>1.75</v>
      </c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75"/>
    </row>
    <row r="518" spans="1:16" s="11" customFormat="1" ht="15.75" x14ac:dyDescent="0.25">
      <c r="A518" s="65">
        <v>457</v>
      </c>
      <c r="B518" s="73" t="s">
        <v>31</v>
      </c>
      <c r="C518" s="74">
        <v>200</v>
      </c>
      <c r="D518" s="66">
        <v>0.2</v>
      </c>
      <c r="E518" s="66">
        <v>0.1</v>
      </c>
      <c r="F518" s="66">
        <v>9.3000000000000007</v>
      </c>
      <c r="G518" s="66">
        <v>38</v>
      </c>
      <c r="H518" s="66">
        <v>0</v>
      </c>
      <c r="I518" s="66">
        <v>0</v>
      </c>
      <c r="J518" s="66">
        <v>0</v>
      </c>
      <c r="K518" s="66">
        <v>0</v>
      </c>
      <c r="L518" s="66">
        <v>5.12</v>
      </c>
      <c r="M518" s="66">
        <v>7.7</v>
      </c>
      <c r="N518" s="66">
        <v>4.2</v>
      </c>
      <c r="O518" s="75">
        <v>0.82</v>
      </c>
    </row>
    <row r="519" spans="1:16" ht="15.75" x14ac:dyDescent="0.25">
      <c r="A519" s="65"/>
      <c r="B519" s="76" t="s">
        <v>130</v>
      </c>
      <c r="C519" s="74">
        <v>10</v>
      </c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75"/>
    </row>
    <row r="520" spans="1:16" ht="15.75" x14ac:dyDescent="0.25">
      <c r="A520" s="65"/>
      <c r="B520" s="76" t="s">
        <v>169</v>
      </c>
      <c r="C520" s="74">
        <v>1</v>
      </c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75"/>
    </row>
    <row r="521" spans="1:16" s="11" customFormat="1" ht="15.75" x14ac:dyDescent="0.25">
      <c r="A521" s="65"/>
      <c r="B521" s="73" t="s">
        <v>51</v>
      </c>
      <c r="C521" s="74">
        <v>40</v>
      </c>
      <c r="D521" s="66">
        <v>3.8</v>
      </c>
      <c r="E521" s="66">
        <v>0.4</v>
      </c>
      <c r="F521" s="66">
        <v>24.6</v>
      </c>
      <c r="G521" s="66">
        <v>117.5</v>
      </c>
      <c r="H521" s="66">
        <v>5.5E-2</v>
      </c>
      <c r="I521" s="66">
        <v>0</v>
      </c>
      <c r="J521" s="66">
        <v>0</v>
      </c>
      <c r="K521" s="66">
        <v>0.55000000000000004</v>
      </c>
      <c r="L521" s="66">
        <v>10</v>
      </c>
      <c r="M521" s="66">
        <v>32.5</v>
      </c>
      <c r="N521" s="66">
        <v>7</v>
      </c>
      <c r="O521" s="75">
        <v>0.55000000000000004</v>
      </c>
    </row>
    <row r="522" spans="1:16" s="11" customFormat="1" ht="15.75" x14ac:dyDescent="0.25">
      <c r="A522" s="65"/>
      <c r="B522" s="73" t="s">
        <v>32</v>
      </c>
      <c r="C522" s="74">
        <v>40</v>
      </c>
      <c r="D522" s="66">
        <v>3.3</v>
      </c>
      <c r="E522" s="66">
        <v>0.6</v>
      </c>
      <c r="F522" s="66">
        <v>16.7</v>
      </c>
      <c r="G522" s="66">
        <v>87</v>
      </c>
      <c r="H522" s="66">
        <v>0.09</v>
      </c>
      <c r="I522" s="66">
        <v>0</v>
      </c>
      <c r="J522" s="66">
        <v>0</v>
      </c>
      <c r="K522" s="66">
        <v>0.7</v>
      </c>
      <c r="L522" s="66">
        <v>17.5</v>
      </c>
      <c r="M522" s="66">
        <v>79</v>
      </c>
      <c r="N522" s="66">
        <v>23.5</v>
      </c>
      <c r="O522" s="75">
        <v>1.95</v>
      </c>
    </row>
    <row r="523" spans="1:16" s="11" customFormat="1" ht="15.75" x14ac:dyDescent="0.25">
      <c r="A523" s="65" t="s">
        <v>209</v>
      </c>
      <c r="B523" s="73" t="s">
        <v>210</v>
      </c>
      <c r="C523" s="74">
        <v>90</v>
      </c>
      <c r="D523" s="66">
        <v>0.8</v>
      </c>
      <c r="E523" s="66">
        <v>0.2</v>
      </c>
      <c r="F523" s="66">
        <v>7.5</v>
      </c>
      <c r="G523" s="66">
        <v>38</v>
      </c>
      <c r="H523" s="66">
        <v>0.06</v>
      </c>
      <c r="I523" s="66">
        <v>38</v>
      </c>
      <c r="J523" s="66">
        <v>0</v>
      </c>
      <c r="K523" s="66">
        <v>0.2</v>
      </c>
      <c r="L523" s="66">
        <v>35</v>
      </c>
      <c r="M523" s="66">
        <v>17</v>
      </c>
      <c r="N523" s="66">
        <v>11</v>
      </c>
      <c r="O523" s="75">
        <v>0.1</v>
      </c>
    </row>
    <row r="524" spans="1:16" ht="15.75" x14ac:dyDescent="0.25">
      <c r="A524" s="65"/>
      <c r="B524" s="76" t="s">
        <v>81</v>
      </c>
      <c r="C524" s="74">
        <v>90</v>
      </c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75"/>
    </row>
    <row r="525" spans="1:16" s="10" customFormat="1" ht="15.75" x14ac:dyDescent="0.25">
      <c r="A525" s="26"/>
      <c r="B525" s="73" t="s">
        <v>355</v>
      </c>
      <c r="C525" s="71"/>
      <c r="D525" s="72">
        <f t="shared" ref="D525:O525" si="26">D526+D530+D538+D544+D549+D553+D554</f>
        <v>26.150000000000006</v>
      </c>
      <c r="E525" s="72">
        <f t="shared" si="26"/>
        <v>19.966666666666669</v>
      </c>
      <c r="F525" s="72">
        <f t="shared" si="26"/>
        <v>83.48</v>
      </c>
      <c r="G525" s="72">
        <f t="shared" si="26"/>
        <v>618.9</v>
      </c>
      <c r="H525" s="72">
        <f t="shared" si="26"/>
        <v>0.45233333333333337</v>
      </c>
      <c r="I525" s="72">
        <f t="shared" si="26"/>
        <v>20.5</v>
      </c>
      <c r="J525" s="72">
        <f t="shared" si="26"/>
        <v>56.75333333333333</v>
      </c>
      <c r="K525" s="72">
        <f t="shared" si="26"/>
        <v>8.52</v>
      </c>
      <c r="L525" s="72">
        <f t="shared" si="26"/>
        <v>181.45</v>
      </c>
      <c r="M525" s="72">
        <f t="shared" si="26"/>
        <v>457.31666666666672</v>
      </c>
      <c r="N525" s="72">
        <f t="shared" si="26"/>
        <v>137.75333333333333</v>
      </c>
      <c r="O525" s="72">
        <f t="shared" si="26"/>
        <v>5.8639999999999999</v>
      </c>
      <c r="P525" s="6"/>
    </row>
    <row r="526" spans="1:16" s="11" customFormat="1" ht="15.75" x14ac:dyDescent="0.25">
      <c r="A526" s="65">
        <v>21</v>
      </c>
      <c r="B526" s="73" t="s">
        <v>315</v>
      </c>
      <c r="C526" s="74">
        <v>100</v>
      </c>
      <c r="D526" s="66">
        <v>1.2</v>
      </c>
      <c r="E526" s="66">
        <v>6.1</v>
      </c>
      <c r="F526" s="66">
        <v>11.2</v>
      </c>
      <c r="G526" s="66">
        <v>104</v>
      </c>
      <c r="H526" s="66">
        <v>0.05</v>
      </c>
      <c r="I526" s="66">
        <v>3.1</v>
      </c>
      <c r="J526" s="66">
        <v>0</v>
      </c>
      <c r="K526" s="66">
        <v>3.9</v>
      </c>
      <c r="L526" s="66">
        <v>24.4</v>
      </c>
      <c r="M526" s="66">
        <v>49.5</v>
      </c>
      <c r="N526" s="66">
        <v>34</v>
      </c>
      <c r="O526" s="75">
        <v>0.64</v>
      </c>
    </row>
    <row r="527" spans="1:16" ht="15.75" x14ac:dyDescent="0.25">
      <c r="A527" s="65"/>
      <c r="B527" s="76" t="s">
        <v>16</v>
      </c>
      <c r="C527" s="74">
        <v>89.7</v>
      </c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75"/>
    </row>
    <row r="528" spans="1:16" ht="15.75" x14ac:dyDescent="0.25">
      <c r="A528" s="65"/>
      <c r="B528" s="76" t="s">
        <v>8</v>
      </c>
      <c r="C528" s="74">
        <v>5</v>
      </c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75"/>
    </row>
    <row r="529" spans="1:15" ht="15.75" x14ac:dyDescent="0.25">
      <c r="A529" s="65"/>
      <c r="B529" s="76" t="s">
        <v>146</v>
      </c>
      <c r="C529" s="74">
        <v>6</v>
      </c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75"/>
    </row>
    <row r="530" spans="1:15" s="11" customFormat="1" ht="15.75" x14ac:dyDescent="0.25">
      <c r="A530" s="65">
        <v>104</v>
      </c>
      <c r="B530" s="73" t="s">
        <v>34</v>
      </c>
      <c r="C530" s="74" t="s">
        <v>129</v>
      </c>
      <c r="D530" s="66">
        <v>1.57</v>
      </c>
      <c r="E530" s="66">
        <v>4.5</v>
      </c>
      <c r="F530" s="66">
        <v>5.7</v>
      </c>
      <c r="G530" s="66">
        <v>70</v>
      </c>
      <c r="H530" s="66">
        <v>0.05</v>
      </c>
      <c r="I530" s="66">
        <v>11.9</v>
      </c>
      <c r="J530" s="66">
        <v>0</v>
      </c>
      <c r="K530" s="66">
        <v>2.35</v>
      </c>
      <c r="L530" s="66">
        <v>37.049999999999997</v>
      </c>
      <c r="M530" s="66">
        <v>45.65</v>
      </c>
      <c r="N530" s="66">
        <v>20.3</v>
      </c>
      <c r="O530" s="75">
        <v>0.78</v>
      </c>
    </row>
    <row r="531" spans="1:15" ht="15.75" x14ac:dyDescent="0.25">
      <c r="A531" s="65"/>
      <c r="B531" s="76" t="s">
        <v>139</v>
      </c>
      <c r="C531" s="74">
        <v>2.5</v>
      </c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75"/>
    </row>
    <row r="532" spans="1:15" ht="15.75" x14ac:dyDescent="0.25">
      <c r="A532" s="65"/>
      <c r="B532" s="76" t="s">
        <v>141</v>
      </c>
      <c r="C532" s="74">
        <v>10.07</v>
      </c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75"/>
    </row>
    <row r="533" spans="1:15" ht="15.75" x14ac:dyDescent="0.25">
      <c r="A533" s="65"/>
      <c r="B533" s="76" t="s">
        <v>20</v>
      </c>
      <c r="C533" s="74">
        <v>2</v>
      </c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75"/>
    </row>
    <row r="534" spans="1:15" ht="15.75" x14ac:dyDescent="0.25">
      <c r="A534" s="65"/>
      <c r="B534" s="76" t="s">
        <v>142</v>
      </c>
      <c r="C534" s="74">
        <v>9.75</v>
      </c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75"/>
    </row>
    <row r="535" spans="1:15" ht="15.75" x14ac:dyDescent="0.25">
      <c r="A535" s="65"/>
      <c r="B535" s="76" t="s">
        <v>143</v>
      </c>
      <c r="C535" s="74">
        <v>35</v>
      </c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75"/>
    </row>
    <row r="536" spans="1:15" ht="15.75" x14ac:dyDescent="0.25">
      <c r="A536" s="65"/>
      <c r="B536" s="76" t="s">
        <v>35</v>
      </c>
      <c r="C536" s="74">
        <v>30</v>
      </c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75"/>
    </row>
    <row r="537" spans="1:15" ht="15.75" x14ac:dyDescent="0.25">
      <c r="A537" s="65"/>
      <c r="B537" s="76" t="s">
        <v>146</v>
      </c>
      <c r="C537" s="74">
        <v>5</v>
      </c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75"/>
    </row>
    <row r="538" spans="1:15" s="11" customFormat="1" ht="15.75" x14ac:dyDescent="0.25">
      <c r="A538" s="65">
        <v>302</v>
      </c>
      <c r="B538" s="73" t="s">
        <v>333</v>
      </c>
      <c r="C538" s="74">
        <v>100</v>
      </c>
      <c r="D538" s="66">
        <f>9.3/75*100</f>
        <v>12.400000000000002</v>
      </c>
      <c r="E538" s="66">
        <f>0.8/75*100</f>
        <v>1.0666666666666669</v>
      </c>
      <c r="F538" s="66">
        <f>2.4/75*100</f>
        <v>3.2</v>
      </c>
      <c r="G538" s="66">
        <f>0.72*100</f>
        <v>72</v>
      </c>
      <c r="H538" s="66">
        <f>0.04/75*100</f>
        <v>5.3333333333333337E-2</v>
      </c>
      <c r="I538" s="66">
        <f>0.3/75*100</f>
        <v>0.4</v>
      </c>
      <c r="J538" s="66">
        <f>15.7/75*100</f>
        <v>20.93333333333333</v>
      </c>
      <c r="K538" s="66">
        <f>0.6/75*100</f>
        <v>0.8</v>
      </c>
      <c r="L538" s="66">
        <f>33.9/75*100</f>
        <v>45.199999999999996</v>
      </c>
      <c r="M538" s="66">
        <f>116.9/75*100</f>
        <v>155.86666666666667</v>
      </c>
      <c r="N538" s="66">
        <f>16.3/75*100</f>
        <v>21.733333333333334</v>
      </c>
      <c r="O538" s="75">
        <f>0.33/75*100</f>
        <v>0.44</v>
      </c>
    </row>
    <row r="539" spans="1:15" ht="15.75" x14ac:dyDescent="0.25">
      <c r="A539" s="65"/>
      <c r="B539" s="76" t="s">
        <v>278</v>
      </c>
      <c r="C539" s="74">
        <v>74.599999999999994</v>
      </c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75"/>
    </row>
    <row r="540" spans="1:15" ht="15.75" x14ac:dyDescent="0.25">
      <c r="A540" s="65"/>
      <c r="B540" s="76" t="s">
        <v>20</v>
      </c>
      <c r="C540" s="74">
        <f>0.75/75*100</f>
        <v>1</v>
      </c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75"/>
    </row>
    <row r="541" spans="1:15" ht="15.75" x14ac:dyDescent="0.25">
      <c r="A541" s="65"/>
      <c r="B541" s="76" t="s">
        <v>185</v>
      </c>
      <c r="C541" s="74">
        <v>3.06</v>
      </c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75"/>
    </row>
    <row r="542" spans="1:15" ht="15.75" x14ac:dyDescent="0.25">
      <c r="A542" s="65"/>
      <c r="B542" s="76" t="s">
        <v>134</v>
      </c>
      <c r="C542" s="74">
        <f>21/75*100</f>
        <v>28.000000000000004</v>
      </c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75"/>
    </row>
    <row r="543" spans="1:15" ht="15.75" x14ac:dyDescent="0.25">
      <c r="A543" s="65"/>
      <c r="B543" s="76" t="s">
        <v>51</v>
      </c>
      <c r="C543" s="74">
        <f>6.3/75*100</f>
        <v>8.3999999999999986</v>
      </c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75"/>
    </row>
    <row r="544" spans="1:15" s="11" customFormat="1" ht="15.75" x14ac:dyDescent="0.25">
      <c r="A544" s="65">
        <v>377</v>
      </c>
      <c r="B544" s="73" t="s">
        <v>82</v>
      </c>
      <c r="C544" s="74">
        <v>180</v>
      </c>
      <c r="D544" s="66">
        <f>2.1/100*180</f>
        <v>3.7800000000000002</v>
      </c>
      <c r="E544" s="66">
        <f>0.04*180</f>
        <v>7.2</v>
      </c>
      <c r="F544" s="66">
        <f>6.1/100*180</f>
        <v>10.98</v>
      </c>
      <c r="G544" s="66">
        <f>0.68*180</f>
        <v>122.4</v>
      </c>
      <c r="H544" s="66">
        <f>0.08/100*180</f>
        <v>0.14400000000000002</v>
      </c>
      <c r="I544" s="66">
        <f>2.5/100*180</f>
        <v>4.5</v>
      </c>
      <c r="J544" s="66">
        <f>19.9/100*180</f>
        <v>35.82</v>
      </c>
      <c r="K544" s="66">
        <f>0.1/100*180</f>
        <v>0.18</v>
      </c>
      <c r="L544" s="66">
        <f>25.5/100*180</f>
        <v>45.9</v>
      </c>
      <c r="M544" s="66">
        <f>51.5/100*180</f>
        <v>92.7</v>
      </c>
      <c r="N544" s="66">
        <f>16.4/100*180</f>
        <v>29.519999999999996</v>
      </c>
      <c r="O544" s="75">
        <f>0.58/100*180</f>
        <v>1.044</v>
      </c>
    </row>
    <row r="545" spans="1:16" ht="15.75" x14ac:dyDescent="0.25">
      <c r="A545" s="65"/>
      <c r="B545" s="76" t="s">
        <v>131</v>
      </c>
      <c r="C545" s="74">
        <f>4.5/100*180</f>
        <v>8.1</v>
      </c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75"/>
    </row>
    <row r="546" spans="1:16" ht="15.75" x14ac:dyDescent="0.25">
      <c r="A546" s="65"/>
      <c r="B546" s="76" t="s">
        <v>20</v>
      </c>
      <c r="C546" s="74">
        <f>0.4/100*180</f>
        <v>0.72</v>
      </c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75"/>
    </row>
    <row r="547" spans="1:16" ht="15.75" x14ac:dyDescent="0.25">
      <c r="A547" s="65"/>
      <c r="B547" s="76" t="s">
        <v>171</v>
      </c>
      <c r="C547" s="74">
        <f>84.3/100*180</f>
        <v>151.74</v>
      </c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75"/>
    </row>
    <row r="548" spans="1:16" ht="15.75" x14ac:dyDescent="0.25">
      <c r="A548" s="65"/>
      <c r="B548" s="76" t="s">
        <v>134</v>
      </c>
      <c r="C548" s="74">
        <f>15/100*180</f>
        <v>27</v>
      </c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75"/>
    </row>
    <row r="549" spans="1:16" s="11" customFormat="1" ht="15.75" x14ac:dyDescent="0.25">
      <c r="A549" s="65">
        <v>486</v>
      </c>
      <c r="B549" s="73" t="s">
        <v>359</v>
      </c>
      <c r="C549" s="74" t="s">
        <v>135</v>
      </c>
      <c r="D549" s="66">
        <v>0.1</v>
      </c>
      <c r="E549" s="66">
        <v>0.1</v>
      </c>
      <c r="F549" s="66">
        <v>11.1</v>
      </c>
      <c r="G549" s="66">
        <v>46</v>
      </c>
      <c r="H549" s="66">
        <v>0.01</v>
      </c>
      <c r="I549" s="66">
        <v>0.6</v>
      </c>
      <c r="J549" s="66">
        <v>0</v>
      </c>
      <c r="K549" s="66">
        <v>0.04</v>
      </c>
      <c r="L549" s="66">
        <v>1.4</v>
      </c>
      <c r="M549" s="66">
        <v>2.1</v>
      </c>
      <c r="N549" s="66">
        <v>1.7</v>
      </c>
      <c r="O549" s="75">
        <v>0.46</v>
      </c>
    </row>
    <row r="550" spans="1:16" ht="15.75" x14ac:dyDescent="0.25">
      <c r="A550" s="65"/>
      <c r="B550" s="76" t="s">
        <v>360</v>
      </c>
      <c r="C550" s="74">
        <v>20</v>
      </c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75"/>
    </row>
    <row r="551" spans="1:16" ht="15.75" x14ac:dyDescent="0.25">
      <c r="A551" s="65"/>
      <c r="B551" s="76" t="s">
        <v>130</v>
      </c>
      <c r="C551" s="74">
        <v>10</v>
      </c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75"/>
    </row>
    <row r="552" spans="1:16" ht="15.75" x14ac:dyDescent="0.25">
      <c r="A552" s="65"/>
      <c r="B552" s="76" t="s">
        <v>147</v>
      </c>
      <c r="C552" s="74">
        <v>10</v>
      </c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75"/>
    </row>
    <row r="553" spans="1:16" s="11" customFormat="1" ht="15.75" x14ac:dyDescent="0.25">
      <c r="A553" s="65"/>
      <c r="B553" s="73" t="s">
        <v>51</v>
      </c>
      <c r="C553" s="74">
        <v>40</v>
      </c>
      <c r="D553" s="66">
        <v>3.8</v>
      </c>
      <c r="E553" s="66">
        <v>0.4</v>
      </c>
      <c r="F553" s="66">
        <v>24.6</v>
      </c>
      <c r="G553" s="66">
        <v>117.5</v>
      </c>
      <c r="H553" s="66">
        <v>5.5E-2</v>
      </c>
      <c r="I553" s="66">
        <v>0</v>
      </c>
      <c r="J553" s="66">
        <v>0</v>
      </c>
      <c r="K553" s="66">
        <v>0.55000000000000004</v>
      </c>
      <c r="L553" s="66">
        <v>10</v>
      </c>
      <c r="M553" s="66">
        <v>32.5</v>
      </c>
      <c r="N553" s="66">
        <v>7</v>
      </c>
      <c r="O553" s="75">
        <v>0.55000000000000004</v>
      </c>
    </row>
    <row r="554" spans="1:16" s="11" customFormat="1" ht="15.75" x14ac:dyDescent="0.25">
      <c r="A554" s="65"/>
      <c r="B554" s="73" t="s">
        <v>32</v>
      </c>
      <c r="C554" s="74">
        <v>40</v>
      </c>
      <c r="D554" s="66">
        <v>3.3</v>
      </c>
      <c r="E554" s="66">
        <v>0.6</v>
      </c>
      <c r="F554" s="66">
        <v>16.7</v>
      </c>
      <c r="G554" s="66">
        <v>87</v>
      </c>
      <c r="H554" s="66">
        <v>0.09</v>
      </c>
      <c r="I554" s="66">
        <v>0</v>
      </c>
      <c r="J554" s="66">
        <v>0</v>
      </c>
      <c r="K554" s="66">
        <v>0.7</v>
      </c>
      <c r="L554" s="66">
        <v>17.5</v>
      </c>
      <c r="M554" s="66">
        <v>79</v>
      </c>
      <c r="N554" s="66">
        <v>23.5</v>
      </c>
      <c r="O554" s="75">
        <v>1.95</v>
      </c>
    </row>
    <row r="555" spans="1:16" s="10" customFormat="1" ht="15.75" x14ac:dyDescent="0.25">
      <c r="A555" s="26"/>
      <c r="B555" s="73" t="s">
        <v>354</v>
      </c>
      <c r="C555" s="71"/>
      <c r="D555" s="72">
        <f>D556+D558+D568+D572+D576+D585+D589+D590</f>
        <v>39.029999999999994</v>
      </c>
      <c r="E555" s="72">
        <f t="shared" ref="E555:O555" si="27">E556+E558+E568+E572+E576+E585+E589+E590</f>
        <v>26.922000000000001</v>
      </c>
      <c r="F555" s="72">
        <f t="shared" si="27"/>
        <v>83.320000000000007</v>
      </c>
      <c r="G555" s="72">
        <f t="shared" si="27"/>
        <v>808.58</v>
      </c>
      <c r="H555" s="72">
        <f t="shared" si="27"/>
        <v>0.53680000000000005</v>
      </c>
      <c r="I555" s="72">
        <f t="shared" si="27"/>
        <v>35.049999999999997</v>
      </c>
      <c r="J555" s="72">
        <f t="shared" si="27"/>
        <v>32.79</v>
      </c>
      <c r="K555" s="72">
        <f t="shared" si="27"/>
        <v>4.984</v>
      </c>
      <c r="L555" s="72">
        <f t="shared" si="27"/>
        <v>154.358</v>
      </c>
      <c r="M555" s="72">
        <f t="shared" si="27"/>
        <v>378.28399999999999</v>
      </c>
      <c r="N555" s="72">
        <f t="shared" si="27"/>
        <v>193.91199999999995</v>
      </c>
      <c r="O555" s="72">
        <f t="shared" si="27"/>
        <v>12.2072</v>
      </c>
      <c r="P555" s="6"/>
    </row>
    <row r="556" spans="1:16" s="11" customFormat="1" ht="31.5" x14ac:dyDescent="0.25">
      <c r="A556" s="65">
        <v>148</v>
      </c>
      <c r="B556" s="73" t="s">
        <v>84</v>
      </c>
      <c r="C556" s="74" t="s">
        <v>137</v>
      </c>
      <c r="D556" s="66">
        <v>1.1000000000000001</v>
      </c>
      <c r="E556" s="66">
        <v>0.2</v>
      </c>
      <c r="F556" s="66">
        <v>3.8</v>
      </c>
      <c r="G556" s="66">
        <v>24</v>
      </c>
      <c r="H556" s="66">
        <v>0.06</v>
      </c>
      <c r="I556" s="66">
        <v>25</v>
      </c>
      <c r="J556" s="66">
        <v>0</v>
      </c>
      <c r="K556" s="66">
        <v>0.7</v>
      </c>
      <c r="L556" s="66">
        <v>14</v>
      </c>
      <c r="M556" s="66">
        <v>26</v>
      </c>
      <c r="N556" s="66">
        <v>20</v>
      </c>
      <c r="O556" s="75">
        <v>0.9</v>
      </c>
    </row>
    <row r="557" spans="1:16" ht="15.75" x14ac:dyDescent="0.25">
      <c r="A557" s="65"/>
      <c r="B557" s="76" t="s">
        <v>198</v>
      </c>
      <c r="C557" s="74">
        <v>100</v>
      </c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75"/>
    </row>
    <row r="558" spans="1:16" s="11" customFormat="1" ht="15.75" x14ac:dyDescent="0.25">
      <c r="A558" s="65">
        <v>98</v>
      </c>
      <c r="B558" s="73" t="s">
        <v>85</v>
      </c>
      <c r="C558" s="74">
        <v>250</v>
      </c>
      <c r="D558" s="66">
        <v>2.0499999999999998</v>
      </c>
      <c r="E558" s="66">
        <v>4.75</v>
      </c>
      <c r="F558" s="66">
        <v>10.72</v>
      </c>
      <c r="G558" s="66">
        <v>93.75</v>
      </c>
      <c r="H558" s="66">
        <v>0.06</v>
      </c>
      <c r="I558" s="66">
        <v>8.1199999999999992</v>
      </c>
      <c r="J558" s="66">
        <v>0</v>
      </c>
      <c r="K558" s="66">
        <v>2.4</v>
      </c>
      <c r="L558" s="66">
        <v>40.9</v>
      </c>
      <c r="M558" s="66">
        <v>66.099999999999994</v>
      </c>
      <c r="N558" s="66">
        <v>30.02</v>
      </c>
      <c r="O558" s="75">
        <v>1.53</v>
      </c>
    </row>
    <row r="559" spans="1:16" ht="15.75" x14ac:dyDescent="0.25">
      <c r="A559" s="65"/>
      <c r="B559" s="76" t="s">
        <v>138</v>
      </c>
      <c r="C559" s="74">
        <v>64</v>
      </c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75"/>
    </row>
    <row r="560" spans="1:16" ht="15.75" x14ac:dyDescent="0.25">
      <c r="A560" s="65"/>
      <c r="B560" s="76" t="s">
        <v>139</v>
      </c>
      <c r="C560" s="74">
        <v>3.25</v>
      </c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75"/>
    </row>
    <row r="561" spans="1:15" ht="15.75" x14ac:dyDescent="0.25">
      <c r="A561" s="65"/>
      <c r="B561" s="76" t="s">
        <v>130</v>
      </c>
      <c r="C561" s="74">
        <v>2.5</v>
      </c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75"/>
    </row>
    <row r="562" spans="1:15" ht="15.75" x14ac:dyDescent="0.25">
      <c r="A562" s="65"/>
      <c r="B562" s="76" t="s">
        <v>146</v>
      </c>
      <c r="C562" s="74">
        <v>5</v>
      </c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75"/>
    </row>
    <row r="563" spans="1:15" ht="15.75" x14ac:dyDescent="0.25">
      <c r="A563" s="65"/>
      <c r="B563" s="76" t="s">
        <v>20</v>
      </c>
      <c r="C563" s="74">
        <v>2</v>
      </c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75"/>
    </row>
    <row r="564" spans="1:15" ht="15.75" x14ac:dyDescent="0.25">
      <c r="A564" s="65"/>
      <c r="B564" s="76" t="s">
        <v>140</v>
      </c>
      <c r="C564" s="74">
        <v>15</v>
      </c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75"/>
    </row>
    <row r="565" spans="1:15" ht="15.75" x14ac:dyDescent="0.25">
      <c r="A565" s="65"/>
      <c r="B565" s="76" t="s">
        <v>141</v>
      </c>
      <c r="C565" s="74">
        <v>11.32</v>
      </c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75"/>
    </row>
    <row r="566" spans="1:15" ht="15.75" x14ac:dyDescent="0.25">
      <c r="A566" s="65"/>
      <c r="B566" s="76" t="s">
        <v>142</v>
      </c>
      <c r="C566" s="74">
        <v>9.75</v>
      </c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75"/>
    </row>
    <row r="567" spans="1:15" ht="15.75" x14ac:dyDescent="0.25">
      <c r="A567" s="65"/>
      <c r="B567" s="76" t="s">
        <v>171</v>
      </c>
      <c r="C567" s="74">
        <v>43.12</v>
      </c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75"/>
    </row>
    <row r="568" spans="1:15" s="11" customFormat="1" ht="31.5" x14ac:dyDescent="0.25">
      <c r="A568" s="65">
        <v>331</v>
      </c>
      <c r="B568" s="73" t="s">
        <v>86</v>
      </c>
      <c r="C568" s="74" t="s">
        <v>137</v>
      </c>
      <c r="D568" s="66">
        <v>21.23</v>
      </c>
      <c r="E568" s="66">
        <v>13.06</v>
      </c>
      <c r="F568" s="66">
        <v>2.4500000000000002</v>
      </c>
      <c r="G568" s="66">
        <v>212.37</v>
      </c>
      <c r="H568" s="66">
        <v>0.09</v>
      </c>
      <c r="I568" s="66">
        <v>0.4</v>
      </c>
      <c r="J568" s="66">
        <v>0</v>
      </c>
      <c r="K568" s="66">
        <v>0</v>
      </c>
      <c r="L568" s="66">
        <v>46.55</v>
      </c>
      <c r="M568" s="66">
        <v>0</v>
      </c>
      <c r="N568" s="66">
        <v>0.08</v>
      </c>
      <c r="O568" s="75">
        <v>2.98</v>
      </c>
    </row>
    <row r="569" spans="1:15" ht="15.75" x14ac:dyDescent="0.25">
      <c r="A569" s="65"/>
      <c r="B569" s="76" t="s">
        <v>146</v>
      </c>
      <c r="C569" s="74">
        <v>2.85</v>
      </c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75"/>
    </row>
    <row r="570" spans="1:15" ht="15.75" x14ac:dyDescent="0.25">
      <c r="A570" s="65"/>
      <c r="B570" s="76" t="s">
        <v>200</v>
      </c>
      <c r="C570" s="74">
        <v>144.28</v>
      </c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75"/>
    </row>
    <row r="571" spans="1:15" ht="15.75" x14ac:dyDescent="0.25">
      <c r="A571" s="65"/>
      <c r="B571" s="76" t="s">
        <v>20</v>
      </c>
      <c r="C571" s="74">
        <v>0.56999999999999995</v>
      </c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75"/>
    </row>
    <row r="572" spans="1:15" s="11" customFormat="1" ht="15.75" x14ac:dyDescent="0.25">
      <c r="A572" s="65">
        <v>202</v>
      </c>
      <c r="B572" s="73" t="s">
        <v>21</v>
      </c>
      <c r="C572" s="74" t="s">
        <v>151</v>
      </c>
      <c r="D572" s="66">
        <f>37.5/1000*180</f>
        <v>6.75</v>
      </c>
      <c r="E572" s="66">
        <f>38.4/1000*180</f>
        <v>6.911999999999999</v>
      </c>
      <c r="F572" s="66">
        <f>65.5/1000*180</f>
        <v>11.790000000000001</v>
      </c>
      <c r="G572" s="66">
        <f>1.157*180</f>
        <v>208.26</v>
      </c>
      <c r="H572" s="66">
        <f>0.91/1000*180</f>
        <v>0.1638</v>
      </c>
      <c r="I572" s="66">
        <v>0</v>
      </c>
      <c r="J572" s="66">
        <f>0.16*180</f>
        <v>28.8</v>
      </c>
      <c r="K572" s="66">
        <f>2.8/1000*180</f>
        <v>0.504</v>
      </c>
      <c r="L572" s="66">
        <f>94.1/1000*180</f>
        <v>16.937999999999999</v>
      </c>
      <c r="M572" s="66">
        <f>895.3/1000*180</f>
        <v>161.154</v>
      </c>
      <c r="N572" s="66">
        <f>591.4/1000*180</f>
        <v>106.45199999999998</v>
      </c>
      <c r="O572" s="75">
        <f>20.04/1000*180</f>
        <v>3.6071999999999997</v>
      </c>
    </row>
    <row r="573" spans="1:15" ht="15.75" x14ac:dyDescent="0.25">
      <c r="A573" s="65"/>
      <c r="B573" s="76" t="s">
        <v>131</v>
      </c>
      <c r="C573" s="74">
        <f>40/1000*180</f>
        <v>7.2</v>
      </c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75"/>
    </row>
    <row r="574" spans="1:15" ht="15.75" x14ac:dyDescent="0.25">
      <c r="A574" s="65"/>
      <c r="B574" s="76" t="s">
        <v>20</v>
      </c>
      <c r="C574" s="74">
        <f>7/1000*180</f>
        <v>1.26</v>
      </c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75"/>
    </row>
    <row r="575" spans="1:15" ht="15.75" x14ac:dyDescent="0.25">
      <c r="A575" s="65"/>
      <c r="B575" s="76" t="s">
        <v>152</v>
      </c>
      <c r="C575" s="74">
        <f>300/1000*180</f>
        <v>54</v>
      </c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75"/>
    </row>
    <row r="576" spans="1:15" s="11" customFormat="1" ht="15.75" x14ac:dyDescent="0.25">
      <c r="A576" s="65">
        <v>422</v>
      </c>
      <c r="B576" s="73" t="s">
        <v>87</v>
      </c>
      <c r="C576" s="74">
        <v>35</v>
      </c>
      <c r="D576" s="66">
        <v>0.7</v>
      </c>
      <c r="E576" s="66">
        <v>0.9</v>
      </c>
      <c r="F576" s="66">
        <v>2.16</v>
      </c>
      <c r="G576" s="66">
        <v>19.7</v>
      </c>
      <c r="H576" s="66">
        <v>8.0000000000000002E-3</v>
      </c>
      <c r="I576" s="66">
        <v>0.93</v>
      </c>
      <c r="J576" s="66">
        <v>3.99</v>
      </c>
      <c r="K576" s="66">
        <v>0.09</v>
      </c>
      <c r="L576" s="66">
        <v>5.07</v>
      </c>
      <c r="M576" s="66">
        <v>11.43</v>
      </c>
      <c r="N576" s="66">
        <v>5.16</v>
      </c>
      <c r="O576" s="75">
        <v>0.23</v>
      </c>
    </row>
    <row r="577" spans="1:16" ht="15.75" x14ac:dyDescent="0.25">
      <c r="A577" s="65"/>
      <c r="B577" s="76" t="s">
        <v>139</v>
      </c>
      <c r="C577" s="74">
        <v>7</v>
      </c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75"/>
    </row>
    <row r="578" spans="1:16" ht="15.75" x14ac:dyDescent="0.25">
      <c r="A578" s="65"/>
      <c r="B578" s="76" t="s">
        <v>130</v>
      </c>
      <c r="C578" s="74">
        <v>0.87</v>
      </c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75"/>
    </row>
    <row r="579" spans="1:16" ht="15.75" x14ac:dyDescent="0.25">
      <c r="A579" s="65"/>
      <c r="B579" s="76" t="s">
        <v>131</v>
      </c>
      <c r="C579" s="74">
        <v>1.05</v>
      </c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75"/>
    </row>
    <row r="580" spans="1:16" ht="15.75" x14ac:dyDescent="0.25">
      <c r="A580" s="65"/>
      <c r="B580" s="76" t="s">
        <v>159</v>
      </c>
      <c r="C580" s="74">
        <v>1.75</v>
      </c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75"/>
    </row>
    <row r="581" spans="1:16" ht="15.75" x14ac:dyDescent="0.25">
      <c r="A581" s="65"/>
      <c r="B581" s="76" t="s">
        <v>168</v>
      </c>
      <c r="C581" s="74">
        <v>0.35</v>
      </c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75"/>
    </row>
    <row r="582" spans="1:16" ht="15.75" x14ac:dyDescent="0.25">
      <c r="A582" s="65"/>
      <c r="B582" s="76" t="s">
        <v>141</v>
      </c>
      <c r="C582" s="74">
        <v>1.41</v>
      </c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75"/>
    </row>
    <row r="583" spans="1:16" ht="15.75" x14ac:dyDescent="0.25">
      <c r="A583" s="65"/>
      <c r="B583" s="76" t="s">
        <v>142</v>
      </c>
      <c r="C583" s="74">
        <v>2.73</v>
      </c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75"/>
    </row>
    <row r="584" spans="1:16" ht="15.75" x14ac:dyDescent="0.25">
      <c r="A584" s="65"/>
      <c r="B584" s="76" t="s">
        <v>144</v>
      </c>
      <c r="C584" s="74">
        <v>0.7</v>
      </c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75"/>
    </row>
    <row r="585" spans="1:16" s="11" customFormat="1" ht="15.75" x14ac:dyDescent="0.25">
      <c r="A585" s="65">
        <v>486</v>
      </c>
      <c r="B585" s="73" t="s">
        <v>326</v>
      </c>
      <c r="C585" s="74" t="s">
        <v>135</v>
      </c>
      <c r="D585" s="66">
        <v>0.1</v>
      </c>
      <c r="E585" s="66">
        <v>0.1</v>
      </c>
      <c r="F585" s="66">
        <v>11.1</v>
      </c>
      <c r="G585" s="66">
        <v>46</v>
      </c>
      <c r="H585" s="66">
        <v>0.01</v>
      </c>
      <c r="I585" s="66">
        <v>0.6</v>
      </c>
      <c r="J585" s="66">
        <v>0</v>
      </c>
      <c r="K585" s="66">
        <v>0.04</v>
      </c>
      <c r="L585" s="66">
        <v>3.4</v>
      </c>
      <c r="M585" s="66">
        <v>2.1</v>
      </c>
      <c r="N585" s="66">
        <v>1.7</v>
      </c>
      <c r="O585" s="75">
        <v>0.46</v>
      </c>
    </row>
    <row r="586" spans="1:16" ht="15.75" x14ac:dyDescent="0.25">
      <c r="A586" s="65"/>
      <c r="B586" s="76" t="s">
        <v>27</v>
      </c>
      <c r="C586" s="74">
        <v>20</v>
      </c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75"/>
    </row>
    <row r="587" spans="1:16" ht="15.75" x14ac:dyDescent="0.25">
      <c r="A587" s="65"/>
      <c r="B587" s="76" t="s">
        <v>130</v>
      </c>
      <c r="C587" s="74">
        <v>10</v>
      </c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75"/>
    </row>
    <row r="588" spans="1:16" ht="15.75" x14ac:dyDescent="0.25">
      <c r="A588" s="65"/>
      <c r="B588" s="76" t="s">
        <v>147</v>
      </c>
      <c r="C588" s="74">
        <v>10</v>
      </c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75"/>
    </row>
    <row r="589" spans="1:16" s="11" customFormat="1" ht="15.75" x14ac:dyDescent="0.25">
      <c r="A589" s="65"/>
      <c r="B589" s="73" t="s">
        <v>51</v>
      </c>
      <c r="C589" s="74">
        <v>40</v>
      </c>
      <c r="D589" s="66">
        <v>3.8</v>
      </c>
      <c r="E589" s="66">
        <v>0.4</v>
      </c>
      <c r="F589" s="66">
        <v>24.6</v>
      </c>
      <c r="G589" s="66">
        <v>117.5</v>
      </c>
      <c r="H589" s="66">
        <v>5.5E-2</v>
      </c>
      <c r="I589" s="66">
        <v>0</v>
      </c>
      <c r="J589" s="66">
        <v>0</v>
      </c>
      <c r="K589" s="66">
        <v>0.55000000000000004</v>
      </c>
      <c r="L589" s="66">
        <v>10</v>
      </c>
      <c r="M589" s="66">
        <v>32.5</v>
      </c>
      <c r="N589" s="66">
        <v>7</v>
      </c>
      <c r="O589" s="75">
        <v>0.55000000000000004</v>
      </c>
    </row>
    <row r="590" spans="1:16" s="11" customFormat="1" ht="15.75" x14ac:dyDescent="0.25">
      <c r="A590" s="65"/>
      <c r="B590" s="73" t="s">
        <v>32</v>
      </c>
      <c r="C590" s="74">
        <v>40</v>
      </c>
      <c r="D590" s="66">
        <v>3.3</v>
      </c>
      <c r="E590" s="66">
        <v>0.6</v>
      </c>
      <c r="F590" s="66">
        <v>16.7</v>
      </c>
      <c r="G590" s="66">
        <v>87</v>
      </c>
      <c r="H590" s="66">
        <v>0.09</v>
      </c>
      <c r="I590" s="66">
        <v>0</v>
      </c>
      <c r="J590" s="66">
        <v>0</v>
      </c>
      <c r="K590" s="66">
        <v>0.7</v>
      </c>
      <c r="L590" s="66">
        <v>17.5</v>
      </c>
      <c r="M590" s="66">
        <v>79</v>
      </c>
      <c r="N590" s="66">
        <v>23.5</v>
      </c>
      <c r="O590" s="75">
        <v>1.95</v>
      </c>
    </row>
    <row r="591" spans="1:16" s="10" customFormat="1" ht="15.75" x14ac:dyDescent="0.25">
      <c r="A591" s="26"/>
      <c r="B591" s="73" t="s">
        <v>349</v>
      </c>
      <c r="C591" s="71"/>
      <c r="D591" s="72">
        <f>D592+D593</f>
        <v>5.8</v>
      </c>
      <c r="E591" s="72">
        <f t="shared" ref="E591:O591" si="28">E592+E593</f>
        <v>5</v>
      </c>
      <c r="F591" s="72">
        <f t="shared" si="28"/>
        <v>9.6</v>
      </c>
      <c r="G591" s="72">
        <f t="shared" si="28"/>
        <v>106</v>
      </c>
      <c r="H591" s="72">
        <f t="shared" si="28"/>
        <v>0.08</v>
      </c>
      <c r="I591" s="72">
        <f t="shared" si="28"/>
        <v>2.6</v>
      </c>
      <c r="J591" s="72">
        <f t="shared" si="28"/>
        <v>0.04</v>
      </c>
      <c r="K591" s="72">
        <f t="shared" si="28"/>
        <v>0</v>
      </c>
      <c r="L591" s="72">
        <f t="shared" si="28"/>
        <v>240</v>
      </c>
      <c r="M591" s="72">
        <f t="shared" si="28"/>
        <v>180</v>
      </c>
      <c r="N591" s="72">
        <f t="shared" si="28"/>
        <v>28</v>
      </c>
      <c r="O591" s="72">
        <f t="shared" si="28"/>
        <v>0.2</v>
      </c>
      <c r="P591" s="6"/>
    </row>
    <row r="592" spans="1:16" s="11" customFormat="1" ht="15.75" x14ac:dyDescent="0.25">
      <c r="A592" s="65"/>
      <c r="B592" s="73" t="s">
        <v>281</v>
      </c>
      <c r="C592" s="74">
        <v>45</v>
      </c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75"/>
    </row>
    <row r="593" spans="1:16" s="11" customFormat="1" ht="16.5" thickBot="1" x14ac:dyDescent="0.3">
      <c r="A593" s="65" t="s">
        <v>211</v>
      </c>
      <c r="B593" s="73" t="s">
        <v>165</v>
      </c>
      <c r="C593" s="74" t="s">
        <v>135</v>
      </c>
      <c r="D593" s="66">
        <v>5.8</v>
      </c>
      <c r="E593" s="66">
        <v>5</v>
      </c>
      <c r="F593" s="66">
        <v>9.6</v>
      </c>
      <c r="G593" s="66">
        <v>106</v>
      </c>
      <c r="H593" s="66">
        <v>0.08</v>
      </c>
      <c r="I593" s="66">
        <v>2.6</v>
      </c>
      <c r="J593" s="66">
        <v>0.04</v>
      </c>
      <c r="K593" s="66">
        <v>0</v>
      </c>
      <c r="L593" s="66">
        <v>240</v>
      </c>
      <c r="M593" s="66">
        <v>180</v>
      </c>
      <c r="N593" s="66">
        <v>28</v>
      </c>
      <c r="O593" s="75">
        <v>0.2</v>
      </c>
    </row>
    <row r="594" spans="1:16" s="14" customFormat="1" ht="16.5" thickBot="1" x14ac:dyDescent="0.3">
      <c r="A594" s="12"/>
      <c r="B594" s="77" t="s">
        <v>29</v>
      </c>
      <c r="C594" s="78"/>
      <c r="D594" s="79">
        <f t="shared" ref="D594:O594" si="29">D499+D525+D555+D591</f>
        <v>96.139790940766559</v>
      </c>
      <c r="E594" s="79">
        <f t="shared" si="29"/>
        <v>83.357934959349592</v>
      </c>
      <c r="F594" s="79">
        <f t="shared" si="29"/>
        <v>266.07560975609761</v>
      </c>
      <c r="G594" s="79">
        <f t="shared" si="29"/>
        <v>2313.4351219512196</v>
      </c>
      <c r="H594" s="79">
        <f t="shared" si="29"/>
        <v>1.3427396051103369</v>
      </c>
      <c r="I594" s="79">
        <f t="shared" si="29"/>
        <v>59.67285714285714</v>
      </c>
      <c r="J594" s="79">
        <f t="shared" si="29"/>
        <v>303.05033681765394</v>
      </c>
      <c r="K594" s="79">
        <f t="shared" si="29"/>
        <v>16.504139372822301</v>
      </c>
      <c r="L594" s="79">
        <f t="shared" si="29"/>
        <v>767.60221602787465</v>
      </c>
      <c r="M594" s="79">
        <f t="shared" si="29"/>
        <v>1398.4093774680605</v>
      </c>
      <c r="N594" s="79">
        <f t="shared" si="29"/>
        <v>428.64582113821132</v>
      </c>
      <c r="O594" s="79">
        <f t="shared" si="29"/>
        <v>24.51353449477352</v>
      </c>
      <c r="P594" s="13"/>
    </row>
    <row r="595" spans="1:16" ht="15.75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13"/>
    </row>
    <row r="596" spans="1:16" s="1" customFormat="1" ht="18.75" x14ac:dyDescent="0.25">
      <c r="A596" s="2"/>
      <c r="B596" s="3" t="s">
        <v>88</v>
      </c>
      <c r="C596" s="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6" x14ac:dyDescent="0.2">
      <c r="A597" s="101"/>
      <c r="B597" s="102" t="s">
        <v>116</v>
      </c>
      <c r="C597" s="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6" ht="15.75" thickBot="1" x14ac:dyDescent="0.25">
      <c r="A598" s="101"/>
      <c r="B598" s="102"/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6" s="8" customFormat="1" ht="16.5" thickBot="1" x14ac:dyDescent="0.3">
      <c r="A599" s="103" t="s">
        <v>5</v>
      </c>
      <c r="B599" s="104" t="s">
        <v>117</v>
      </c>
      <c r="C599" s="105" t="s">
        <v>118</v>
      </c>
      <c r="D599" s="106" t="s">
        <v>3</v>
      </c>
      <c r="E599" s="106"/>
      <c r="F599" s="106"/>
      <c r="G599" s="106" t="s">
        <v>119</v>
      </c>
      <c r="H599" s="106" t="s">
        <v>1</v>
      </c>
      <c r="I599" s="106"/>
      <c r="J599" s="106"/>
      <c r="K599" s="106"/>
      <c r="L599" s="108" t="s">
        <v>2</v>
      </c>
      <c r="M599" s="108"/>
      <c r="N599" s="108"/>
      <c r="O599" s="108"/>
      <c r="P599" s="7"/>
    </row>
    <row r="600" spans="1:16" s="9" customFormat="1" ht="31.5" x14ac:dyDescent="0.25">
      <c r="A600" s="103"/>
      <c r="B600" s="104"/>
      <c r="C600" s="105"/>
      <c r="D600" s="63" t="s">
        <v>120</v>
      </c>
      <c r="E600" s="63" t="s">
        <v>121</v>
      </c>
      <c r="F600" s="63" t="s">
        <v>122</v>
      </c>
      <c r="G600" s="106"/>
      <c r="H600" s="63" t="s">
        <v>123</v>
      </c>
      <c r="I600" s="63" t="s">
        <v>124</v>
      </c>
      <c r="J600" s="63" t="s">
        <v>125</v>
      </c>
      <c r="K600" s="63" t="s">
        <v>126</v>
      </c>
      <c r="L600" s="63" t="s">
        <v>127</v>
      </c>
      <c r="M600" s="63" t="s">
        <v>128</v>
      </c>
      <c r="N600" s="63" t="s">
        <v>0</v>
      </c>
      <c r="O600" s="64" t="s">
        <v>4</v>
      </c>
      <c r="P600" s="1"/>
    </row>
    <row r="601" spans="1:16" s="10" customFormat="1" ht="15.75" x14ac:dyDescent="0.25">
      <c r="A601" s="26"/>
      <c r="B601" s="73" t="s">
        <v>368</v>
      </c>
      <c r="C601" s="71"/>
      <c r="D601" s="72">
        <f t="shared" ref="D601:O601" si="30">D602+D605+D611+D615+D616+D617</f>
        <v>21.5</v>
      </c>
      <c r="E601" s="72">
        <f t="shared" si="30"/>
        <v>18.175000000000001</v>
      </c>
      <c r="F601" s="72">
        <f t="shared" si="30"/>
        <v>100.47499999999999</v>
      </c>
      <c r="G601" s="72">
        <f t="shared" si="30"/>
        <v>653.25</v>
      </c>
      <c r="H601" s="72">
        <f t="shared" si="30"/>
        <v>0.40749999999999992</v>
      </c>
      <c r="I601" s="72">
        <f t="shared" si="30"/>
        <v>2.1749999999999998</v>
      </c>
      <c r="J601" s="72">
        <f t="shared" si="30"/>
        <v>65.25</v>
      </c>
      <c r="K601" s="72">
        <f t="shared" si="30"/>
        <v>1.7350000000000001</v>
      </c>
      <c r="L601" s="72">
        <f t="shared" si="30"/>
        <v>293.97500000000002</v>
      </c>
      <c r="M601" s="72">
        <f t="shared" si="30"/>
        <v>421.8</v>
      </c>
      <c r="N601" s="72">
        <f t="shared" si="30"/>
        <v>95.575000000000003</v>
      </c>
      <c r="O601" s="72">
        <f t="shared" si="30"/>
        <v>4.4524999999999997</v>
      </c>
      <c r="P601" s="6"/>
    </row>
    <row r="602" spans="1:16" s="11" customFormat="1" ht="15.75" x14ac:dyDescent="0.25">
      <c r="A602" s="65">
        <v>57</v>
      </c>
      <c r="B602" s="73" t="s">
        <v>341</v>
      </c>
      <c r="C602" s="74">
        <v>35</v>
      </c>
      <c r="D602" s="66">
        <v>4.0999999999999996</v>
      </c>
      <c r="E602" s="66">
        <v>6.1</v>
      </c>
      <c r="F602" s="66">
        <v>9.9</v>
      </c>
      <c r="G602" s="66">
        <v>111</v>
      </c>
      <c r="H602" s="66">
        <v>0.05</v>
      </c>
      <c r="I602" s="66">
        <v>0</v>
      </c>
      <c r="J602" s="66">
        <v>0</v>
      </c>
      <c r="K602" s="66">
        <v>0.31</v>
      </c>
      <c r="L602" s="66">
        <v>8.5</v>
      </c>
      <c r="M602" s="66">
        <v>45.4</v>
      </c>
      <c r="N602" s="66">
        <v>6.1</v>
      </c>
      <c r="O602" s="75">
        <v>0.67</v>
      </c>
    </row>
    <row r="603" spans="1:16" ht="15.75" x14ac:dyDescent="0.25">
      <c r="A603" s="65"/>
      <c r="B603" s="76" t="s">
        <v>316</v>
      </c>
      <c r="C603" s="74">
        <v>15</v>
      </c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75"/>
    </row>
    <row r="604" spans="1:16" ht="15.75" x14ac:dyDescent="0.25">
      <c r="A604" s="65"/>
      <c r="B604" s="76" t="s">
        <v>342</v>
      </c>
      <c r="C604" s="74">
        <v>20</v>
      </c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75"/>
    </row>
    <row r="605" spans="1:16" s="11" customFormat="1" ht="31.5" x14ac:dyDescent="0.25">
      <c r="A605" s="65">
        <v>233</v>
      </c>
      <c r="B605" s="73" t="s">
        <v>90</v>
      </c>
      <c r="C605" s="74" t="s">
        <v>129</v>
      </c>
      <c r="D605" s="66">
        <f>0.03*250</f>
        <v>7.5</v>
      </c>
      <c r="E605" s="66">
        <f>6.86/200*250</f>
        <v>8.5750000000000011</v>
      </c>
      <c r="F605" s="66">
        <f>28.54/200*250</f>
        <v>35.674999999999997</v>
      </c>
      <c r="G605" s="66">
        <f>199.8/200*250</f>
        <v>249.75000000000003</v>
      </c>
      <c r="H605" s="66">
        <f>0.146/200*250</f>
        <v>0.1825</v>
      </c>
      <c r="I605" s="66">
        <f>1.18/200*250</f>
        <v>1.4749999999999999</v>
      </c>
      <c r="J605" s="66">
        <f>0.185*250</f>
        <v>46.25</v>
      </c>
      <c r="K605" s="66">
        <f>0.14/200*250</f>
        <v>0.17500000000000002</v>
      </c>
      <c r="L605" s="66">
        <f>119.74/200*250</f>
        <v>149.67500000000001</v>
      </c>
      <c r="M605" s="66">
        <f>150.72/200*250</f>
        <v>188.4</v>
      </c>
      <c r="N605" s="66">
        <f>37.1/200*250</f>
        <v>46.375</v>
      </c>
      <c r="O605" s="75">
        <f>0.93/200*250</f>
        <v>1.1625000000000001</v>
      </c>
    </row>
    <row r="606" spans="1:16" ht="15.75" x14ac:dyDescent="0.25">
      <c r="A606" s="65"/>
      <c r="B606" s="76" t="s">
        <v>212</v>
      </c>
      <c r="C606" s="74">
        <f>2.7/200*250</f>
        <v>3.3750000000000004</v>
      </c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75"/>
    </row>
    <row r="607" spans="1:16" ht="15.75" x14ac:dyDescent="0.25">
      <c r="A607" s="65"/>
      <c r="B607" s="76" t="s">
        <v>130</v>
      </c>
      <c r="C607" s="74">
        <f>5/200*250</f>
        <v>6.25</v>
      </c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75"/>
    </row>
    <row r="608" spans="1:16" ht="15.75" x14ac:dyDescent="0.25">
      <c r="A608" s="65"/>
      <c r="B608" s="76" t="s">
        <v>131</v>
      </c>
      <c r="C608" s="74">
        <f>5/200*250</f>
        <v>6.25</v>
      </c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75"/>
    </row>
    <row r="609" spans="1:16" ht="15.75" x14ac:dyDescent="0.25">
      <c r="A609" s="65"/>
      <c r="B609" s="76" t="s">
        <v>206</v>
      </c>
      <c r="C609" s="74">
        <f>29.7/200*250</f>
        <v>37.125</v>
      </c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75"/>
    </row>
    <row r="610" spans="1:16" ht="15.75" x14ac:dyDescent="0.25">
      <c r="A610" s="65"/>
      <c r="B610" s="76" t="s">
        <v>134</v>
      </c>
      <c r="C610" s="74">
        <f>90/200*250</f>
        <v>112.5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75"/>
    </row>
    <row r="611" spans="1:16" s="11" customFormat="1" ht="31.5" x14ac:dyDescent="0.25">
      <c r="A611" s="65">
        <v>465</v>
      </c>
      <c r="B611" s="73" t="s">
        <v>11</v>
      </c>
      <c r="C611" s="74" t="s">
        <v>135</v>
      </c>
      <c r="D611" s="66">
        <v>2.8</v>
      </c>
      <c r="E611" s="66">
        <v>2.5</v>
      </c>
      <c r="F611" s="66">
        <v>13.6</v>
      </c>
      <c r="G611" s="66">
        <v>88</v>
      </c>
      <c r="H611" s="66">
        <v>0.03</v>
      </c>
      <c r="I611" s="66">
        <v>0.7</v>
      </c>
      <c r="J611" s="66">
        <v>19</v>
      </c>
      <c r="K611" s="66">
        <v>0</v>
      </c>
      <c r="L611" s="66">
        <v>108.3</v>
      </c>
      <c r="M611" s="66">
        <v>76.5</v>
      </c>
      <c r="N611" s="66">
        <v>12.6</v>
      </c>
      <c r="O611" s="75">
        <v>0.12</v>
      </c>
    </row>
    <row r="612" spans="1:16" ht="15.75" x14ac:dyDescent="0.25">
      <c r="A612" s="65"/>
      <c r="B612" s="76" t="s">
        <v>130</v>
      </c>
      <c r="C612" s="74">
        <v>10</v>
      </c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75"/>
    </row>
    <row r="613" spans="1:16" ht="15.75" x14ac:dyDescent="0.25">
      <c r="A613" s="65"/>
      <c r="B613" s="76" t="s">
        <v>136</v>
      </c>
      <c r="C613" s="74">
        <v>2.4</v>
      </c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75"/>
    </row>
    <row r="614" spans="1:16" ht="15.75" x14ac:dyDescent="0.25">
      <c r="A614" s="65"/>
      <c r="B614" s="76" t="s">
        <v>134</v>
      </c>
      <c r="C614" s="74">
        <v>100</v>
      </c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75"/>
    </row>
    <row r="615" spans="1:16" s="11" customFormat="1" ht="15.75" x14ac:dyDescent="0.25">
      <c r="A615" s="65"/>
      <c r="B615" s="73" t="s">
        <v>32</v>
      </c>
      <c r="C615" s="74">
        <v>40</v>
      </c>
      <c r="D615" s="66">
        <v>3.3</v>
      </c>
      <c r="E615" s="66">
        <v>0.6</v>
      </c>
      <c r="F615" s="66">
        <v>16.7</v>
      </c>
      <c r="G615" s="66">
        <v>87</v>
      </c>
      <c r="H615" s="66">
        <v>0.09</v>
      </c>
      <c r="I615" s="66">
        <v>0</v>
      </c>
      <c r="J615" s="66">
        <v>0</v>
      </c>
      <c r="K615" s="66">
        <v>0.7</v>
      </c>
      <c r="L615" s="66">
        <v>17.5</v>
      </c>
      <c r="M615" s="66">
        <v>79</v>
      </c>
      <c r="N615" s="66">
        <v>23.5</v>
      </c>
      <c r="O615" s="75">
        <v>1.95</v>
      </c>
    </row>
    <row r="616" spans="1:16" s="11" customFormat="1" ht="15.75" x14ac:dyDescent="0.25">
      <c r="A616" s="65"/>
      <c r="B616" s="73" t="s">
        <v>51</v>
      </c>
      <c r="C616" s="74">
        <v>40</v>
      </c>
      <c r="D616" s="66">
        <v>3.8</v>
      </c>
      <c r="E616" s="66">
        <v>0.4</v>
      </c>
      <c r="F616" s="66">
        <v>24.6</v>
      </c>
      <c r="G616" s="66">
        <v>117.5</v>
      </c>
      <c r="H616" s="66">
        <v>5.5E-2</v>
      </c>
      <c r="I616" s="66">
        <v>0</v>
      </c>
      <c r="J616" s="66">
        <v>0</v>
      </c>
      <c r="K616" s="66">
        <v>0.55000000000000004</v>
      </c>
      <c r="L616" s="66">
        <v>10</v>
      </c>
      <c r="M616" s="66">
        <v>32.5</v>
      </c>
      <c r="N616" s="66">
        <v>7</v>
      </c>
      <c r="O616" s="75">
        <v>0.55000000000000004</v>
      </c>
    </row>
    <row r="617" spans="1:16" s="11" customFormat="1" ht="15.75" x14ac:dyDescent="0.25">
      <c r="A617" s="65"/>
      <c r="B617" s="73" t="s">
        <v>213</v>
      </c>
      <c r="C617" s="74">
        <v>150</v>
      </c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75"/>
    </row>
    <row r="618" spans="1:16" s="10" customFormat="1" ht="15.75" x14ac:dyDescent="0.25">
      <c r="A618" s="26"/>
      <c r="B618" s="73" t="s">
        <v>375</v>
      </c>
      <c r="C618" s="71"/>
      <c r="D618" s="72">
        <f>D619+D623+D632+D638+D641+D642</f>
        <v>35.997391304347822</v>
      </c>
      <c r="E618" s="72">
        <f>E619+E623+E632+E638+E641+E642</f>
        <v>39.049130434782604</v>
      </c>
      <c r="F618" s="72">
        <f t="shared" ref="F618:O618" si="31">F619+F623+F632+F638+F641+F642</f>
        <v>97.419565217391309</v>
      </c>
      <c r="G618" s="72">
        <f t="shared" si="31"/>
        <v>887.6521739130435</v>
      </c>
      <c r="H618" s="72">
        <f t="shared" si="31"/>
        <v>0.39717391304347827</v>
      </c>
      <c r="I618" s="72">
        <f t="shared" si="31"/>
        <v>19.073913043478264</v>
      </c>
      <c r="J618" s="72">
        <f t="shared" si="31"/>
        <v>0</v>
      </c>
      <c r="K618" s="72">
        <f t="shared" si="31"/>
        <v>11.770652173913042</v>
      </c>
      <c r="L618" s="72">
        <f t="shared" si="31"/>
        <v>124.25217391304349</v>
      </c>
      <c r="M618" s="72">
        <f t="shared" si="31"/>
        <v>528.76086956521738</v>
      </c>
      <c r="N618" s="72">
        <f t="shared" si="31"/>
        <v>136.02391304347827</v>
      </c>
      <c r="O618" s="72">
        <f t="shared" si="31"/>
        <v>9.8806521739130435</v>
      </c>
      <c r="P618" s="6"/>
    </row>
    <row r="619" spans="1:16" s="11" customFormat="1" ht="15.75" x14ac:dyDescent="0.25">
      <c r="A619" s="65">
        <v>22</v>
      </c>
      <c r="B619" s="73" t="s">
        <v>91</v>
      </c>
      <c r="C619" s="74" t="s">
        <v>137</v>
      </c>
      <c r="D619" s="66">
        <v>1</v>
      </c>
      <c r="E619" s="66">
        <v>6.2</v>
      </c>
      <c r="F619" s="66">
        <v>8.1999999999999993</v>
      </c>
      <c r="G619" s="66">
        <v>93</v>
      </c>
      <c r="H619" s="66">
        <v>0.05</v>
      </c>
      <c r="I619" s="66">
        <v>4.5999999999999996</v>
      </c>
      <c r="J619" s="66">
        <v>0</v>
      </c>
      <c r="K619" s="66">
        <v>3.8</v>
      </c>
      <c r="L619" s="66">
        <v>23.2</v>
      </c>
      <c r="M619" s="66">
        <v>38.799999999999997</v>
      </c>
      <c r="N619" s="66">
        <v>27.3</v>
      </c>
      <c r="O619" s="75">
        <v>1.31</v>
      </c>
    </row>
    <row r="620" spans="1:16" ht="15.75" x14ac:dyDescent="0.25">
      <c r="A620" s="65"/>
      <c r="B620" s="76" t="s">
        <v>161</v>
      </c>
      <c r="C620" s="74">
        <v>39.6</v>
      </c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75"/>
    </row>
    <row r="621" spans="1:16" ht="15.75" x14ac:dyDescent="0.25">
      <c r="A621" s="65"/>
      <c r="B621" s="76" t="s">
        <v>142</v>
      </c>
      <c r="C621" s="74">
        <v>62.4</v>
      </c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75"/>
    </row>
    <row r="622" spans="1:16" ht="15.75" x14ac:dyDescent="0.25">
      <c r="A622" s="65"/>
      <c r="B622" s="76" t="s">
        <v>146</v>
      </c>
      <c r="C622" s="74">
        <v>6</v>
      </c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75"/>
    </row>
    <row r="623" spans="1:16" s="11" customFormat="1" ht="15.75" x14ac:dyDescent="0.25">
      <c r="A623" s="65">
        <v>119</v>
      </c>
      <c r="B623" s="73" t="s">
        <v>92</v>
      </c>
      <c r="C623" s="74" t="s">
        <v>129</v>
      </c>
      <c r="D623" s="66">
        <v>2.13</v>
      </c>
      <c r="E623" s="66">
        <v>5.0999999999999996</v>
      </c>
      <c r="F623" s="66">
        <v>14.55</v>
      </c>
      <c r="G623" s="66">
        <v>112.5</v>
      </c>
      <c r="H623" s="66">
        <v>0.05</v>
      </c>
      <c r="I623" s="66">
        <v>9.9499999999999993</v>
      </c>
      <c r="J623" s="66">
        <v>0</v>
      </c>
      <c r="K623" s="66">
        <v>2.4249999999999998</v>
      </c>
      <c r="L623" s="66">
        <v>26.25</v>
      </c>
      <c r="M623" s="66">
        <v>67</v>
      </c>
      <c r="N623" s="66">
        <v>19.5</v>
      </c>
      <c r="O623" s="75">
        <v>0.72499999999999998</v>
      </c>
    </row>
    <row r="624" spans="1:16" ht="15.75" x14ac:dyDescent="0.25">
      <c r="A624" s="65"/>
      <c r="B624" s="76" t="s">
        <v>15</v>
      </c>
      <c r="C624" s="74">
        <v>10</v>
      </c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75"/>
    </row>
    <row r="625" spans="1:15" ht="15.75" x14ac:dyDescent="0.25">
      <c r="A625" s="65"/>
      <c r="B625" s="76" t="s">
        <v>205</v>
      </c>
      <c r="C625" s="74">
        <v>10</v>
      </c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75"/>
    </row>
    <row r="626" spans="1:15" ht="15.75" x14ac:dyDescent="0.25">
      <c r="A626" s="65"/>
      <c r="B626" s="76" t="s">
        <v>20</v>
      </c>
      <c r="C626" s="74">
        <v>2</v>
      </c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75"/>
    </row>
    <row r="627" spans="1:15" ht="15.75" x14ac:dyDescent="0.25">
      <c r="A627" s="65"/>
      <c r="B627" s="76" t="s">
        <v>141</v>
      </c>
      <c r="C627" s="74">
        <v>10</v>
      </c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75"/>
    </row>
    <row r="628" spans="1:15" ht="15.75" x14ac:dyDescent="0.25">
      <c r="A628" s="65"/>
      <c r="B628" s="76" t="s">
        <v>142</v>
      </c>
      <c r="C628" s="74">
        <v>9.75</v>
      </c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75"/>
    </row>
    <row r="629" spans="1:15" ht="15.75" x14ac:dyDescent="0.25">
      <c r="A629" s="65"/>
      <c r="B629" s="76" t="s">
        <v>143</v>
      </c>
      <c r="C629" s="74">
        <v>30</v>
      </c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75"/>
    </row>
    <row r="630" spans="1:15" ht="15.75" x14ac:dyDescent="0.25">
      <c r="A630" s="65"/>
      <c r="B630" s="76" t="s">
        <v>171</v>
      </c>
      <c r="C630" s="74">
        <v>25.12</v>
      </c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75"/>
    </row>
    <row r="631" spans="1:15" ht="15.75" x14ac:dyDescent="0.25">
      <c r="A631" s="65"/>
      <c r="B631" s="76" t="s">
        <v>146</v>
      </c>
      <c r="C631" s="74">
        <v>5</v>
      </c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75"/>
    </row>
    <row r="632" spans="1:15" s="11" customFormat="1" ht="15.75" x14ac:dyDescent="0.25">
      <c r="A632" s="65">
        <v>328</v>
      </c>
      <c r="B632" s="73" t="s">
        <v>93</v>
      </c>
      <c r="C632" s="74">
        <v>250</v>
      </c>
      <c r="D632" s="66">
        <f>23.43/230*250</f>
        <v>25.467391304347828</v>
      </c>
      <c r="E632" s="66">
        <f>24.6/230*250</f>
        <v>26.739130434782609</v>
      </c>
      <c r="F632" s="66">
        <f>14.6/230*250</f>
        <v>15.869565217391305</v>
      </c>
      <c r="G632" s="66">
        <f>373.2/230*250</f>
        <v>405.6521739130435</v>
      </c>
      <c r="H632" s="66">
        <f>0.14/230*250</f>
        <v>0.15217391304347827</v>
      </c>
      <c r="I632" s="66">
        <f>4.07/230*250</f>
        <v>4.4239130434782616</v>
      </c>
      <c r="J632" s="66">
        <v>0</v>
      </c>
      <c r="K632" s="66">
        <f>3.86/230*250</f>
        <v>4.195652173913043</v>
      </c>
      <c r="L632" s="66">
        <f>28.43/230*250</f>
        <v>30.90217391304348</v>
      </c>
      <c r="M632" s="66">
        <f>276.7/230*250</f>
        <v>300.76086956521738</v>
      </c>
      <c r="N632" s="66">
        <f>50.07/230*250</f>
        <v>54.423913043478258</v>
      </c>
      <c r="O632" s="75">
        <f>4.09/230*250</f>
        <v>4.445652173913043</v>
      </c>
    </row>
    <row r="633" spans="1:15" ht="31.5" x14ac:dyDescent="0.25">
      <c r="A633" s="65"/>
      <c r="B633" s="76" t="s">
        <v>172</v>
      </c>
      <c r="C633" s="74">
        <f>117/230*250</f>
        <v>127.17391304347825</v>
      </c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75"/>
    </row>
    <row r="634" spans="1:15" ht="15.75" x14ac:dyDescent="0.25">
      <c r="A634" s="65"/>
      <c r="B634" s="76" t="s">
        <v>139</v>
      </c>
      <c r="C634" s="74">
        <v>7.93</v>
      </c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75"/>
    </row>
    <row r="635" spans="1:15" ht="15.75" x14ac:dyDescent="0.25">
      <c r="A635" s="65"/>
      <c r="B635" s="76" t="s">
        <v>146</v>
      </c>
      <c r="C635" s="74">
        <v>7.93</v>
      </c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75"/>
    </row>
    <row r="636" spans="1:15" ht="15.75" x14ac:dyDescent="0.25">
      <c r="A636" s="65"/>
      <c r="B636" s="76" t="s">
        <v>141</v>
      </c>
      <c r="C636" s="74">
        <v>16.63</v>
      </c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75"/>
    </row>
    <row r="637" spans="1:15" ht="15.75" x14ac:dyDescent="0.25">
      <c r="A637" s="65"/>
      <c r="B637" s="76" t="s">
        <v>171</v>
      </c>
      <c r="C637" s="74">
        <v>129.54</v>
      </c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75"/>
    </row>
    <row r="638" spans="1:15" s="11" customFormat="1" ht="15.75" x14ac:dyDescent="0.25">
      <c r="A638" s="65">
        <v>494</v>
      </c>
      <c r="B638" s="73" t="s">
        <v>351</v>
      </c>
      <c r="C638" s="74" t="s">
        <v>135</v>
      </c>
      <c r="D638" s="66">
        <v>0.3</v>
      </c>
      <c r="E638" s="66">
        <v>0.01</v>
      </c>
      <c r="F638" s="66">
        <v>17.5</v>
      </c>
      <c r="G638" s="66">
        <v>72</v>
      </c>
      <c r="H638" s="66">
        <v>0</v>
      </c>
      <c r="I638" s="66">
        <v>0.1</v>
      </c>
      <c r="J638" s="66">
        <v>0</v>
      </c>
      <c r="K638" s="66">
        <v>0.1</v>
      </c>
      <c r="L638" s="66">
        <v>16.399999999999999</v>
      </c>
      <c r="M638" s="66">
        <v>10.7</v>
      </c>
      <c r="N638" s="66">
        <v>4.3</v>
      </c>
      <c r="O638" s="75">
        <v>0.9</v>
      </c>
    </row>
    <row r="639" spans="1:15" ht="15.75" x14ac:dyDescent="0.25">
      <c r="A639" s="65"/>
      <c r="B639" s="76" t="s">
        <v>130</v>
      </c>
      <c r="C639" s="74">
        <v>10</v>
      </c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75"/>
    </row>
    <row r="640" spans="1:15" ht="15.75" x14ac:dyDescent="0.25">
      <c r="A640" s="65"/>
      <c r="B640" s="76" t="s">
        <v>89</v>
      </c>
      <c r="C640" s="74">
        <v>20</v>
      </c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75"/>
    </row>
    <row r="641" spans="1:16" s="11" customFormat="1" ht="15.75" x14ac:dyDescent="0.25">
      <c r="A641" s="65"/>
      <c r="B641" s="73" t="s">
        <v>51</v>
      </c>
      <c r="C641" s="74">
        <v>40</v>
      </c>
      <c r="D641" s="66">
        <v>3.8</v>
      </c>
      <c r="E641" s="66">
        <v>0.4</v>
      </c>
      <c r="F641" s="66">
        <v>24.6</v>
      </c>
      <c r="G641" s="66">
        <v>117.5</v>
      </c>
      <c r="H641" s="66">
        <v>5.5E-2</v>
      </c>
      <c r="I641" s="66">
        <v>0</v>
      </c>
      <c r="J641" s="66">
        <v>0</v>
      </c>
      <c r="K641" s="66">
        <v>0.55000000000000004</v>
      </c>
      <c r="L641" s="66">
        <v>10</v>
      </c>
      <c r="M641" s="66">
        <v>32.5</v>
      </c>
      <c r="N641" s="66">
        <v>7</v>
      </c>
      <c r="O641" s="75">
        <v>0.55000000000000004</v>
      </c>
    </row>
    <row r="642" spans="1:16" s="11" customFormat="1" ht="15.75" x14ac:dyDescent="0.25">
      <c r="A642" s="65"/>
      <c r="B642" s="73" t="s">
        <v>32</v>
      </c>
      <c r="C642" s="74">
        <v>40</v>
      </c>
      <c r="D642" s="66">
        <v>3.3</v>
      </c>
      <c r="E642" s="66">
        <v>0.6</v>
      </c>
      <c r="F642" s="66">
        <v>16.7</v>
      </c>
      <c r="G642" s="66">
        <v>87</v>
      </c>
      <c r="H642" s="66">
        <v>0.09</v>
      </c>
      <c r="I642" s="66">
        <v>0</v>
      </c>
      <c r="J642" s="66">
        <v>0</v>
      </c>
      <c r="K642" s="66">
        <v>0.7</v>
      </c>
      <c r="L642" s="66">
        <v>17.5</v>
      </c>
      <c r="M642" s="66">
        <v>79</v>
      </c>
      <c r="N642" s="66">
        <v>23.5</v>
      </c>
      <c r="O642" s="75">
        <v>1.95</v>
      </c>
    </row>
    <row r="643" spans="1:16" s="10" customFormat="1" ht="15.75" x14ac:dyDescent="0.25">
      <c r="A643" s="26"/>
      <c r="B643" s="73" t="s">
        <v>376</v>
      </c>
      <c r="C643" s="71"/>
      <c r="D643" s="72">
        <f t="shared" ref="D643:O643" si="32">D644+D650+D661+D668+D672+D673</f>
        <v>28.3</v>
      </c>
      <c r="E643" s="72">
        <f t="shared" si="32"/>
        <v>30.41782608695652</v>
      </c>
      <c r="F643" s="72">
        <f t="shared" si="32"/>
        <v>109.24565217391306</v>
      </c>
      <c r="G643" s="72">
        <f t="shared" si="32"/>
        <v>826.12000000000012</v>
      </c>
      <c r="H643" s="72">
        <f t="shared" si="32"/>
        <v>0.3193478260869565</v>
      </c>
      <c r="I643" s="72">
        <f t="shared" si="32"/>
        <v>62.845652173913045</v>
      </c>
      <c r="J643" s="72">
        <f t="shared" si="32"/>
        <v>0</v>
      </c>
      <c r="K643" s="72">
        <f t="shared" si="32"/>
        <v>12.947826086956523</v>
      </c>
      <c r="L643" s="72">
        <f t="shared" si="32"/>
        <v>118.99782608695652</v>
      </c>
      <c r="M643" s="72">
        <f t="shared" si="32"/>
        <v>411.04782608695649</v>
      </c>
      <c r="N643" s="72">
        <f t="shared" si="32"/>
        <v>130.78304347826088</v>
      </c>
      <c r="O643" s="72">
        <f t="shared" si="32"/>
        <v>7.5956521739130434</v>
      </c>
      <c r="P643" s="6"/>
    </row>
    <row r="644" spans="1:16" s="11" customFormat="1" ht="31.5" x14ac:dyDescent="0.25">
      <c r="A644" s="65">
        <v>20</v>
      </c>
      <c r="B644" s="73" t="s">
        <v>94</v>
      </c>
      <c r="C644" s="74" t="s">
        <v>137</v>
      </c>
      <c r="D644" s="66">
        <v>1.1000000000000001</v>
      </c>
      <c r="E644" s="66">
        <v>6.2</v>
      </c>
      <c r="F644" s="66">
        <v>4.4000000000000004</v>
      </c>
      <c r="G644" s="66">
        <v>78</v>
      </c>
      <c r="H644" s="66">
        <v>0.06</v>
      </c>
      <c r="I644" s="66">
        <v>51.9</v>
      </c>
      <c r="J644" s="66">
        <v>0</v>
      </c>
      <c r="K644" s="66">
        <v>4.0999999999999996</v>
      </c>
      <c r="L644" s="66">
        <v>15.1</v>
      </c>
      <c r="M644" s="66">
        <v>26.9</v>
      </c>
      <c r="N644" s="66">
        <v>15.8</v>
      </c>
      <c r="O644" s="75">
        <v>0.78</v>
      </c>
    </row>
    <row r="645" spans="1:16" ht="15.75" x14ac:dyDescent="0.25">
      <c r="A645" s="65"/>
      <c r="B645" s="76" t="s">
        <v>214</v>
      </c>
      <c r="C645" s="74">
        <v>20.2</v>
      </c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75"/>
    </row>
    <row r="646" spans="1:16" ht="15.75" x14ac:dyDescent="0.25">
      <c r="A646" s="65"/>
      <c r="B646" s="76" t="s">
        <v>198</v>
      </c>
      <c r="C646" s="74">
        <v>63.6</v>
      </c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75"/>
    </row>
    <row r="647" spans="1:16" ht="15.75" x14ac:dyDescent="0.25">
      <c r="A647" s="65"/>
      <c r="B647" s="76" t="s">
        <v>20</v>
      </c>
      <c r="C647" s="74">
        <v>0.25</v>
      </c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75"/>
    </row>
    <row r="648" spans="1:16" ht="15.75" x14ac:dyDescent="0.25">
      <c r="A648" s="65"/>
      <c r="B648" s="76" t="s">
        <v>215</v>
      </c>
      <c r="C648" s="74">
        <v>11.2</v>
      </c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75"/>
    </row>
    <row r="649" spans="1:16" ht="15.75" x14ac:dyDescent="0.25">
      <c r="A649" s="65"/>
      <c r="B649" s="76" t="s">
        <v>146</v>
      </c>
      <c r="C649" s="74">
        <v>6</v>
      </c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75"/>
    </row>
    <row r="650" spans="1:16" s="11" customFormat="1" ht="15.75" x14ac:dyDescent="0.25">
      <c r="A650" s="65">
        <v>95</v>
      </c>
      <c r="B650" s="73" t="s">
        <v>12</v>
      </c>
      <c r="C650" s="74">
        <v>250</v>
      </c>
      <c r="D650" s="66">
        <v>1.8</v>
      </c>
      <c r="E650" s="66">
        <v>4.42</v>
      </c>
      <c r="F650" s="66">
        <v>7.15</v>
      </c>
      <c r="G650" s="66">
        <v>75.62</v>
      </c>
      <c r="H650" s="66">
        <v>0.04</v>
      </c>
      <c r="I650" s="66">
        <v>7.45</v>
      </c>
      <c r="J650" s="66">
        <v>0</v>
      </c>
      <c r="K650" s="66">
        <v>2.4</v>
      </c>
      <c r="L650" s="66">
        <v>40.799999999999997</v>
      </c>
      <c r="M650" s="66">
        <v>52.8</v>
      </c>
      <c r="N650" s="66">
        <v>25.67</v>
      </c>
      <c r="O650" s="75">
        <v>1.21</v>
      </c>
    </row>
    <row r="651" spans="1:16" ht="15.75" x14ac:dyDescent="0.25">
      <c r="A651" s="65"/>
      <c r="B651" s="76" t="s">
        <v>138</v>
      </c>
      <c r="C651" s="74">
        <v>40</v>
      </c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75"/>
    </row>
    <row r="652" spans="1:16" ht="15.75" x14ac:dyDescent="0.25">
      <c r="A652" s="65"/>
      <c r="B652" s="76" t="s">
        <v>139</v>
      </c>
      <c r="C652" s="74">
        <v>7.5</v>
      </c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75"/>
    </row>
    <row r="653" spans="1:16" ht="15.75" x14ac:dyDescent="0.25">
      <c r="A653" s="65"/>
      <c r="B653" s="76" t="s">
        <v>130</v>
      </c>
      <c r="C653" s="74">
        <v>2.5</v>
      </c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75"/>
    </row>
    <row r="654" spans="1:16" ht="15.75" x14ac:dyDescent="0.25">
      <c r="A654" s="65"/>
      <c r="B654" s="76" t="s">
        <v>140</v>
      </c>
      <c r="C654" s="74">
        <v>12.5</v>
      </c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75"/>
    </row>
    <row r="655" spans="1:16" ht="15.75" x14ac:dyDescent="0.25">
      <c r="A655" s="65"/>
      <c r="B655" s="76" t="s">
        <v>141</v>
      </c>
      <c r="C655" s="74">
        <v>10.07</v>
      </c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75"/>
    </row>
    <row r="656" spans="1:16" ht="15.75" x14ac:dyDescent="0.25">
      <c r="A656" s="65"/>
      <c r="B656" s="76" t="s">
        <v>142</v>
      </c>
      <c r="C656" s="74">
        <v>12.27</v>
      </c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75"/>
    </row>
    <row r="657" spans="1:15" ht="15.75" x14ac:dyDescent="0.25">
      <c r="A657" s="65"/>
      <c r="B657" s="76" t="s">
        <v>143</v>
      </c>
      <c r="C657" s="74">
        <v>20</v>
      </c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75"/>
    </row>
    <row r="658" spans="1:15" ht="15.75" x14ac:dyDescent="0.25">
      <c r="A658" s="65"/>
      <c r="B658" s="76" t="s">
        <v>171</v>
      </c>
      <c r="C658" s="74">
        <v>20.05</v>
      </c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75"/>
    </row>
    <row r="659" spans="1:15" ht="15.75" x14ac:dyDescent="0.25">
      <c r="A659" s="65"/>
      <c r="B659" s="76" t="s">
        <v>146</v>
      </c>
      <c r="C659" s="74">
        <v>5</v>
      </c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75"/>
    </row>
    <row r="660" spans="1:15" ht="15.75" x14ac:dyDescent="0.25">
      <c r="A660" s="65"/>
      <c r="B660" s="76" t="s">
        <v>147</v>
      </c>
      <c r="C660" s="74">
        <v>3.75</v>
      </c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75"/>
    </row>
    <row r="661" spans="1:15" s="11" customFormat="1" ht="15.75" x14ac:dyDescent="0.25">
      <c r="A661" s="65">
        <v>330</v>
      </c>
      <c r="B661" s="73" t="s">
        <v>95</v>
      </c>
      <c r="C661" s="74" t="s">
        <v>129</v>
      </c>
      <c r="D661" s="66">
        <f>16.56/230*250</f>
        <v>18</v>
      </c>
      <c r="E661" s="66">
        <f>17.11/230*250</f>
        <v>18.59782608695652</v>
      </c>
      <c r="F661" s="66">
        <f>38.82/230*250</f>
        <v>42.195652173913047</v>
      </c>
      <c r="G661" s="66">
        <f>375.36/230*250</f>
        <v>408.00000000000006</v>
      </c>
      <c r="H661" s="66">
        <f>0.05/230*250</f>
        <v>5.4347826086956527E-2</v>
      </c>
      <c r="I661" s="66">
        <f>0.18/230*250</f>
        <v>0.19565217391304346</v>
      </c>
      <c r="J661" s="66">
        <v>0</v>
      </c>
      <c r="K661" s="66">
        <f>4.69/230*250</f>
        <v>5.0978260869565224</v>
      </c>
      <c r="L661" s="66">
        <f>20.33/230*250</f>
        <v>22.09782608695652</v>
      </c>
      <c r="M661" s="66">
        <f>194.9/230*250</f>
        <v>211.8478260869565</v>
      </c>
      <c r="N661" s="66">
        <f>48.68/230*250</f>
        <v>52.913043478260867</v>
      </c>
      <c r="O661" s="75">
        <f>1.79/230*250</f>
        <v>1.9456521739130435</v>
      </c>
    </row>
    <row r="662" spans="1:15" ht="15.75" x14ac:dyDescent="0.25">
      <c r="A662" s="65"/>
      <c r="B662" s="76" t="s">
        <v>149</v>
      </c>
      <c r="C662" s="74">
        <v>67.290000000000006</v>
      </c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75"/>
    </row>
    <row r="663" spans="1:15" ht="31.5" x14ac:dyDescent="0.25">
      <c r="A663" s="65"/>
      <c r="B663" s="76" t="s">
        <v>172</v>
      </c>
      <c r="C663" s="74">
        <f>75.44/230*250</f>
        <v>82</v>
      </c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75"/>
    </row>
    <row r="664" spans="1:15" ht="15.75" x14ac:dyDescent="0.25">
      <c r="A664" s="65"/>
      <c r="B664" s="76" t="s">
        <v>20</v>
      </c>
      <c r="C664" s="74">
        <f>0.92/230*250</f>
        <v>1</v>
      </c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75"/>
    </row>
    <row r="665" spans="1:15" ht="15.75" x14ac:dyDescent="0.25">
      <c r="A665" s="65"/>
      <c r="B665" s="76" t="s">
        <v>146</v>
      </c>
      <c r="C665" s="74">
        <f>9.2/230*250</f>
        <v>9.9999999999999982</v>
      </c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75"/>
    </row>
    <row r="666" spans="1:15" ht="15.75" x14ac:dyDescent="0.25">
      <c r="A666" s="65"/>
      <c r="B666" s="76" t="s">
        <v>141</v>
      </c>
      <c r="C666" s="74">
        <v>10</v>
      </c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75"/>
    </row>
    <row r="667" spans="1:15" ht="15.75" x14ac:dyDescent="0.25">
      <c r="A667" s="65"/>
      <c r="B667" s="76" t="s">
        <v>142</v>
      </c>
      <c r="C667" s="74">
        <v>24.09</v>
      </c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75"/>
    </row>
    <row r="668" spans="1:15" s="11" customFormat="1" ht="15.75" x14ac:dyDescent="0.25">
      <c r="A668" s="65">
        <v>487</v>
      </c>
      <c r="B668" s="73" t="s">
        <v>96</v>
      </c>
      <c r="C668" s="74" t="s">
        <v>135</v>
      </c>
      <c r="D668" s="66">
        <v>0.3</v>
      </c>
      <c r="E668" s="66">
        <v>0.2</v>
      </c>
      <c r="F668" s="66">
        <v>14.2</v>
      </c>
      <c r="G668" s="66">
        <v>60</v>
      </c>
      <c r="H668" s="66">
        <v>0.02</v>
      </c>
      <c r="I668" s="66">
        <v>3.3</v>
      </c>
      <c r="J668" s="66">
        <v>0</v>
      </c>
      <c r="K668" s="66">
        <v>0.1</v>
      </c>
      <c r="L668" s="66">
        <v>13.5</v>
      </c>
      <c r="M668" s="66">
        <v>8</v>
      </c>
      <c r="N668" s="66">
        <v>5.9</v>
      </c>
      <c r="O668" s="75">
        <v>1.1599999999999999</v>
      </c>
    </row>
    <row r="669" spans="1:15" ht="15.75" x14ac:dyDescent="0.25">
      <c r="A669" s="65"/>
      <c r="B669" s="76" t="s">
        <v>161</v>
      </c>
      <c r="C669" s="74">
        <v>49.2</v>
      </c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75"/>
    </row>
    <row r="670" spans="1:15" ht="15.75" x14ac:dyDescent="0.25">
      <c r="A670" s="65"/>
      <c r="B670" s="76" t="s">
        <v>130</v>
      </c>
      <c r="C670" s="74">
        <v>10</v>
      </c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75"/>
    </row>
    <row r="671" spans="1:15" ht="15.75" x14ac:dyDescent="0.25">
      <c r="A671" s="65"/>
      <c r="B671" s="76" t="s">
        <v>156</v>
      </c>
      <c r="C671" s="74">
        <v>14.4</v>
      </c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75"/>
    </row>
    <row r="672" spans="1:15" s="11" customFormat="1" ht="15.75" x14ac:dyDescent="0.25">
      <c r="A672" s="65"/>
      <c r="B672" s="73" t="s">
        <v>51</v>
      </c>
      <c r="C672" s="74">
        <v>40</v>
      </c>
      <c r="D672" s="66">
        <v>3.8</v>
      </c>
      <c r="E672" s="66">
        <v>0.4</v>
      </c>
      <c r="F672" s="66">
        <v>24.6</v>
      </c>
      <c r="G672" s="66">
        <v>117.5</v>
      </c>
      <c r="H672" s="66">
        <v>5.5E-2</v>
      </c>
      <c r="I672" s="66">
        <v>0</v>
      </c>
      <c r="J672" s="66">
        <v>0</v>
      </c>
      <c r="K672" s="66">
        <v>0.55000000000000004</v>
      </c>
      <c r="L672" s="66">
        <v>10</v>
      </c>
      <c r="M672" s="66">
        <v>32.5</v>
      </c>
      <c r="N672" s="66">
        <v>7</v>
      </c>
      <c r="O672" s="75">
        <v>0.55000000000000004</v>
      </c>
    </row>
    <row r="673" spans="1:16" s="11" customFormat="1" ht="15.75" x14ac:dyDescent="0.25">
      <c r="A673" s="65"/>
      <c r="B673" s="73" t="s">
        <v>32</v>
      </c>
      <c r="C673" s="74">
        <v>40</v>
      </c>
      <c r="D673" s="66">
        <v>3.3</v>
      </c>
      <c r="E673" s="66">
        <v>0.6</v>
      </c>
      <c r="F673" s="66">
        <v>16.7</v>
      </c>
      <c r="G673" s="66">
        <v>87</v>
      </c>
      <c r="H673" s="66">
        <v>0.09</v>
      </c>
      <c r="I673" s="66">
        <v>0</v>
      </c>
      <c r="J673" s="66">
        <v>0</v>
      </c>
      <c r="K673" s="66">
        <v>0.7</v>
      </c>
      <c r="L673" s="66">
        <v>17.5</v>
      </c>
      <c r="M673" s="66">
        <v>79</v>
      </c>
      <c r="N673" s="66">
        <v>23.5</v>
      </c>
      <c r="O673" s="75">
        <v>1.95</v>
      </c>
    </row>
    <row r="674" spans="1:16" s="10" customFormat="1" ht="15.75" x14ac:dyDescent="0.25">
      <c r="A674" s="26"/>
      <c r="B674" s="73" t="s">
        <v>377</v>
      </c>
      <c r="C674" s="71"/>
      <c r="D674" s="72">
        <f>D675+D682</f>
        <v>10.7</v>
      </c>
      <c r="E674" s="72">
        <f t="shared" ref="E674:O674" si="33">E675+E682</f>
        <v>17.399999999999999</v>
      </c>
      <c r="F674" s="72">
        <f t="shared" si="33"/>
        <v>36.5</v>
      </c>
      <c r="G674" s="72">
        <f t="shared" si="33"/>
        <v>442</v>
      </c>
      <c r="H674" s="72">
        <f t="shared" si="33"/>
        <v>7.2999999999999995E-2</v>
      </c>
      <c r="I674" s="72">
        <f t="shared" si="33"/>
        <v>8.0969999999999995</v>
      </c>
      <c r="J674" s="72">
        <f t="shared" si="33"/>
        <v>0.14199999999999999</v>
      </c>
      <c r="K674" s="72">
        <f t="shared" si="33"/>
        <v>0.69799999999999995</v>
      </c>
      <c r="L674" s="72">
        <f t="shared" si="33"/>
        <v>40.003</v>
      </c>
      <c r="M674" s="72">
        <f t="shared" si="33"/>
        <v>53.002000000000002</v>
      </c>
      <c r="N674" s="72">
        <f t="shared" si="33"/>
        <v>11.003</v>
      </c>
      <c r="O674" s="72">
        <f t="shared" si="33"/>
        <v>1.403</v>
      </c>
      <c r="P674" s="6"/>
    </row>
    <row r="675" spans="1:16" s="11" customFormat="1" ht="15.75" x14ac:dyDescent="0.25">
      <c r="A675" s="65"/>
      <c r="B675" s="73" t="s">
        <v>286</v>
      </c>
      <c r="C675" s="74">
        <v>100</v>
      </c>
      <c r="D675" s="66">
        <v>10.1</v>
      </c>
      <c r="E675" s="66">
        <v>17.2</v>
      </c>
      <c r="F675" s="66">
        <v>36.299999999999997</v>
      </c>
      <c r="G675" s="66">
        <v>306</v>
      </c>
      <c r="H675" s="66">
        <v>5.2999999999999999E-2</v>
      </c>
      <c r="I675" s="66">
        <v>9.7000000000000003E-2</v>
      </c>
      <c r="J675" s="66">
        <v>0.14199999999999999</v>
      </c>
      <c r="K675" s="66">
        <v>0.69799999999999995</v>
      </c>
      <c r="L675" s="66">
        <v>20.003</v>
      </c>
      <c r="M675" s="66">
        <v>53.002000000000002</v>
      </c>
      <c r="N675" s="66">
        <v>11.003</v>
      </c>
      <c r="O675" s="75">
        <v>0.80300000000000005</v>
      </c>
    </row>
    <row r="676" spans="1:16" s="11" customFormat="1" ht="15.75" x14ac:dyDescent="0.25">
      <c r="A676" s="65"/>
      <c r="B676" s="69" t="s">
        <v>19</v>
      </c>
      <c r="C676" s="74">
        <v>45.38</v>
      </c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75"/>
    </row>
    <row r="677" spans="1:16" s="11" customFormat="1" ht="15.75" x14ac:dyDescent="0.25">
      <c r="A677" s="65"/>
      <c r="B677" s="69" t="s">
        <v>130</v>
      </c>
      <c r="C677" s="74">
        <v>6.9</v>
      </c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75"/>
    </row>
    <row r="678" spans="1:16" s="11" customFormat="1" ht="15.75" x14ac:dyDescent="0.25">
      <c r="A678" s="65"/>
      <c r="B678" s="69" t="s">
        <v>185</v>
      </c>
      <c r="C678" s="74">
        <v>5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75"/>
    </row>
    <row r="679" spans="1:16" s="11" customFormat="1" ht="15.75" x14ac:dyDescent="0.25">
      <c r="A679" s="65"/>
      <c r="B679" s="69" t="s">
        <v>290</v>
      </c>
      <c r="C679" s="74">
        <v>1.5</v>
      </c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75"/>
    </row>
    <row r="680" spans="1:16" s="11" customFormat="1" ht="15.75" x14ac:dyDescent="0.25">
      <c r="A680" s="65"/>
      <c r="B680" s="69" t="s">
        <v>44</v>
      </c>
      <c r="C680" s="74">
        <v>30</v>
      </c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75"/>
    </row>
    <row r="681" spans="1:16" s="11" customFormat="1" ht="15.75" x14ac:dyDescent="0.25">
      <c r="A681" s="65"/>
      <c r="B681" s="69" t="s">
        <v>9</v>
      </c>
      <c r="C681" s="74">
        <v>5</v>
      </c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75"/>
    </row>
    <row r="682" spans="1:16" s="11" customFormat="1" ht="15.75" x14ac:dyDescent="0.25">
      <c r="A682" s="65"/>
      <c r="B682" s="73" t="s">
        <v>64</v>
      </c>
      <c r="C682" s="74" t="s">
        <v>135</v>
      </c>
      <c r="D682" s="66">
        <v>0.6</v>
      </c>
      <c r="E682" s="66">
        <v>0.2</v>
      </c>
      <c r="F682" s="66">
        <v>0.2</v>
      </c>
      <c r="G682" s="66">
        <v>136</v>
      </c>
      <c r="H682" s="66">
        <v>0.02</v>
      </c>
      <c r="I682" s="66">
        <v>8</v>
      </c>
      <c r="J682" s="66">
        <v>0</v>
      </c>
      <c r="K682" s="66">
        <v>0</v>
      </c>
      <c r="L682" s="66">
        <v>20</v>
      </c>
      <c r="M682" s="66">
        <v>0</v>
      </c>
      <c r="N682" s="66">
        <v>0</v>
      </c>
      <c r="O682" s="75">
        <v>0.6</v>
      </c>
    </row>
    <row r="683" spans="1:16" ht="16.5" thickBot="1" x14ac:dyDescent="0.3">
      <c r="A683" s="82"/>
      <c r="B683" s="91" t="s">
        <v>216</v>
      </c>
      <c r="C683" s="83">
        <v>200</v>
      </c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5"/>
    </row>
    <row r="684" spans="1:16" s="14" customFormat="1" ht="16.5" thickBot="1" x14ac:dyDescent="0.3">
      <c r="A684" s="12"/>
      <c r="B684" s="77" t="s">
        <v>29</v>
      </c>
      <c r="C684" s="78"/>
      <c r="D684" s="79">
        <f t="shared" ref="D684:O684" si="34">D601+D618+D643+D674</f>
        <v>96.497391304347829</v>
      </c>
      <c r="E684" s="79">
        <f t="shared" si="34"/>
        <v>105.04195652173914</v>
      </c>
      <c r="F684" s="79">
        <f t="shared" si="34"/>
        <v>343.64021739130436</v>
      </c>
      <c r="G684" s="79">
        <f t="shared" si="34"/>
        <v>2809.0221739130438</v>
      </c>
      <c r="H684" s="79">
        <f t="shared" si="34"/>
        <v>1.1970217391304345</v>
      </c>
      <c r="I684" s="79">
        <f t="shared" si="34"/>
        <v>92.1915652173913</v>
      </c>
      <c r="J684" s="79">
        <f t="shared" si="34"/>
        <v>65.391999999999996</v>
      </c>
      <c r="K684" s="79">
        <f t="shared" si="34"/>
        <v>27.151478260869567</v>
      </c>
      <c r="L684" s="79">
        <f t="shared" si="34"/>
        <v>577.22800000000007</v>
      </c>
      <c r="M684" s="79">
        <f t="shared" si="34"/>
        <v>1414.6106956521739</v>
      </c>
      <c r="N684" s="79">
        <f t="shared" si="34"/>
        <v>373.38495652173913</v>
      </c>
      <c r="O684" s="79">
        <f t="shared" si="34"/>
        <v>23.331804347826086</v>
      </c>
      <c r="P684" s="13"/>
    </row>
    <row r="685" spans="1:16" s="1" customFormat="1" x14ac:dyDescent="0.25">
      <c r="A685" s="15"/>
      <c r="B685" s="16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6" s="1" customFormat="1" ht="18.75" x14ac:dyDescent="0.25">
      <c r="A686" s="2"/>
      <c r="B686" s="3" t="s">
        <v>97</v>
      </c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6" x14ac:dyDescent="0.2">
      <c r="A687" s="101"/>
      <c r="B687" s="102" t="s">
        <v>116</v>
      </c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6" ht="15.75" thickBot="1" x14ac:dyDescent="0.25">
      <c r="A688" s="101"/>
      <c r="B688" s="102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6" s="8" customFormat="1" ht="16.5" thickBot="1" x14ac:dyDescent="0.3">
      <c r="A689" s="103" t="s">
        <v>5</v>
      </c>
      <c r="B689" s="104" t="s">
        <v>117</v>
      </c>
      <c r="C689" s="105" t="s">
        <v>118</v>
      </c>
      <c r="D689" s="106" t="s">
        <v>3</v>
      </c>
      <c r="E689" s="106"/>
      <c r="F689" s="106"/>
      <c r="G689" s="106" t="s">
        <v>119</v>
      </c>
      <c r="H689" s="106" t="s">
        <v>1</v>
      </c>
      <c r="I689" s="106"/>
      <c r="J689" s="106"/>
      <c r="K689" s="106"/>
      <c r="L689" s="108" t="s">
        <v>2</v>
      </c>
      <c r="M689" s="108"/>
      <c r="N689" s="108"/>
      <c r="O689" s="108"/>
      <c r="P689" s="7"/>
    </row>
    <row r="690" spans="1:16" s="9" customFormat="1" ht="31.5" x14ac:dyDescent="0.25">
      <c r="A690" s="103"/>
      <c r="B690" s="104"/>
      <c r="C690" s="105"/>
      <c r="D690" s="63" t="s">
        <v>120</v>
      </c>
      <c r="E690" s="63" t="s">
        <v>121</v>
      </c>
      <c r="F690" s="63" t="s">
        <v>122</v>
      </c>
      <c r="G690" s="106"/>
      <c r="H690" s="63" t="s">
        <v>123</v>
      </c>
      <c r="I690" s="63" t="s">
        <v>124</v>
      </c>
      <c r="J690" s="63" t="s">
        <v>125</v>
      </c>
      <c r="K690" s="63" t="s">
        <v>126</v>
      </c>
      <c r="L690" s="63" t="s">
        <v>127</v>
      </c>
      <c r="M690" s="63" t="s">
        <v>128</v>
      </c>
      <c r="N690" s="63" t="s">
        <v>0</v>
      </c>
      <c r="O690" s="64" t="s">
        <v>4</v>
      </c>
      <c r="P690" s="1"/>
    </row>
    <row r="691" spans="1:16" s="10" customFormat="1" ht="15.75" x14ac:dyDescent="0.25">
      <c r="A691" s="26"/>
      <c r="B691" s="73" t="s">
        <v>368</v>
      </c>
      <c r="C691" s="71"/>
      <c r="D691" s="72">
        <f t="shared" ref="D691:O691" si="35">D692+D701+D704+D708+D709</f>
        <v>51.025999999999996</v>
      </c>
      <c r="E691" s="72">
        <f t="shared" si="35"/>
        <v>14.579333333333334</v>
      </c>
      <c r="F691" s="72">
        <f t="shared" si="35"/>
        <v>107.84733333333332</v>
      </c>
      <c r="G691" s="72">
        <f t="shared" si="35"/>
        <v>768</v>
      </c>
      <c r="H691" s="72">
        <f t="shared" si="35"/>
        <v>0.32779999999999998</v>
      </c>
      <c r="I691" s="72">
        <f t="shared" si="35"/>
        <v>1.163</v>
      </c>
      <c r="J691" s="72">
        <f t="shared" si="35"/>
        <v>95.5</v>
      </c>
      <c r="K691" s="72">
        <f t="shared" si="35"/>
        <v>1.86</v>
      </c>
      <c r="L691" s="72">
        <f t="shared" si="35"/>
        <v>460.11466666666672</v>
      </c>
      <c r="M691" s="72">
        <f t="shared" si="35"/>
        <v>624.89666666666665</v>
      </c>
      <c r="N691" s="72">
        <f t="shared" si="35"/>
        <v>96.036000000000001</v>
      </c>
      <c r="O691" s="72">
        <f t="shared" si="35"/>
        <v>5.027333333333333</v>
      </c>
      <c r="P691" s="6"/>
    </row>
    <row r="692" spans="1:16" s="11" customFormat="1" ht="15.75" x14ac:dyDescent="0.25">
      <c r="A692" s="65">
        <v>279</v>
      </c>
      <c r="B692" s="73" t="s">
        <v>43</v>
      </c>
      <c r="C692" s="74" t="s">
        <v>135</v>
      </c>
      <c r="D692" s="66">
        <v>42.13</v>
      </c>
      <c r="E692" s="66">
        <v>12.27</v>
      </c>
      <c r="F692" s="66">
        <v>33.729999999999997</v>
      </c>
      <c r="G692" s="66">
        <v>413.33</v>
      </c>
      <c r="H692" s="66">
        <v>0.16</v>
      </c>
      <c r="I692" s="66">
        <v>0.8</v>
      </c>
      <c r="J692" s="66">
        <v>86</v>
      </c>
      <c r="K692" s="66">
        <v>0.4</v>
      </c>
      <c r="L692" s="66">
        <v>366.93</v>
      </c>
      <c r="M692" s="66">
        <v>462.27</v>
      </c>
      <c r="N692" s="66">
        <v>51.2</v>
      </c>
      <c r="O692" s="75">
        <v>1.48</v>
      </c>
    </row>
    <row r="693" spans="1:16" ht="15.75" x14ac:dyDescent="0.25">
      <c r="A693" s="65"/>
      <c r="B693" s="76" t="s">
        <v>181</v>
      </c>
      <c r="C693" s="74">
        <v>13.33</v>
      </c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75"/>
    </row>
    <row r="694" spans="1:16" ht="15.75" x14ac:dyDescent="0.25">
      <c r="A694" s="65"/>
      <c r="B694" s="76" t="s">
        <v>182</v>
      </c>
      <c r="C694" s="74">
        <v>6.6</v>
      </c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75"/>
    </row>
    <row r="695" spans="1:16" ht="15.75" x14ac:dyDescent="0.25">
      <c r="A695" s="65"/>
      <c r="B695" s="76" t="s">
        <v>130</v>
      </c>
      <c r="C695" s="74">
        <v>13.33</v>
      </c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75"/>
    </row>
    <row r="696" spans="1:16" ht="15.75" x14ac:dyDescent="0.25">
      <c r="A696" s="65"/>
      <c r="B696" s="76" t="s">
        <v>146</v>
      </c>
      <c r="C696" s="74">
        <v>2.66</v>
      </c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75"/>
    </row>
    <row r="697" spans="1:16" ht="15.75" x14ac:dyDescent="0.25">
      <c r="A697" s="65"/>
      <c r="B697" s="76" t="s">
        <v>183</v>
      </c>
      <c r="C697" s="74">
        <v>186.66</v>
      </c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75"/>
    </row>
    <row r="698" spans="1:16" ht="15.75" x14ac:dyDescent="0.25">
      <c r="A698" s="65"/>
      <c r="B698" s="76" t="s">
        <v>140</v>
      </c>
      <c r="C698" s="74">
        <v>6.6</v>
      </c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75"/>
    </row>
    <row r="699" spans="1:16" ht="15.75" x14ac:dyDescent="0.25">
      <c r="A699" s="65"/>
      <c r="B699" s="76" t="s">
        <v>184</v>
      </c>
      <c r="C699" s="74">
        <v>0.02</v>
      </c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75"/>
    </row>
    <row r="700" spans="1:16" ht="15.75" x14ac:dyDescent="0.25">
      <c r="A700" s="65"/>
      <c r="B700" s="76" t="s">
        <v>185</v>
      </c>
      <c r="C700" s="74">
        <v>5.33</v>
      </c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75"/>
    </row>
    <row r="701" spans="1:16" s="11" customFormat="1" ht="15.75" x14ac:dyDescent="0.25">
      <c r="A701" s="65">
        <v>436</v>
      </c>
      <c r="B701" s="73" t="s">
        <v>98</v>
      </c>
      <c r="C701" s="74">
        <v>35</v>
      </c>
      <c r="D701" s="66">
        <f>0.42/75*35</f>
        <v>0.19600000000000001</v>
      </c>
      <c r="E701" s="66">
        <f>0.02/75*35</f>
        <v>9.3333333333333341E-3</v>
      </c>
      <c r="F701" s="66">
        <f>45.68/75*35</f>
        <v>21.317333333333334</v>
      </c>
      <c r="G701" s="66">
        <f>184.65/75*35</f>
        <v>86.17</v>
      </c>
      <c r="H701" s="66">
        <f>0.006/75*35</f>
        <v>2.8000000000000004E-3</v>
      </c>
      <c r="I701" s="66">
        <f>0.135/75*35</f>
        <v>6.3E-2</v>
      </c>
      <c r="J701" s="66">
        <v>0</v>
      </c>
      <c r="K701" s="66">
        <f>0.45/75*35</f>
        <v>0.21</v>
      </c>
      <c r="L701" s="66">
        <f>14.11/75*35</f>
        <v>6.5846666666666662</v>
      </c>
      <c r="M701" s="66">
        <f>11.2/75*35</f>
        <v>5.2266666666666666</v>
      </c>
      <c r="N701" s="66">
        <f>8.22/75*35</f>
        <v>3.8360000000000003</v>
      </c>
      <c r="O701" s="75">
        <f>0.38/75*35</f>
        <v>0.17733333333333332</v>
      </c>
    </row>
    <row r="702" spans="1:16" ht="15.75" x14ac:dyDescent="0.25">
      <c r="A702" s="65"/>
      <c r="B702" s="76" t="s">
        <v>130</v>
      </c>
      <c r="C702" s="74">
        <f>45/75*35</f>
        <v>21</v>
      </c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75"/>
    </row>
    <row r="703" spans="1:16" ht="31.5" x14ac:dyDescent="0.25">
      <c r="A703" s="65"/>
      <c r="B703" s="76" t="s">
        <v>217</v>
      </c>
      <c r="C703" s="74">
        <f>8.25/75*35</f>
        <v>3.85</v>
      </c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75"/>
    </row>
    <row r="704" spans="1:16" s="11" customFormat="1" ht="15.75" x14ac:dyDescent="0.25">
      <c r="A704" s="65">
        <v>460</v>
      </c>
      <c r="B704" s="73" t="s">
        <v>69</v>
      </c>
      <c r="C704" s="74" t="s">
        <v>135</v>
      </c>
      <c r="D704" s="66">
        <v>1.6</v>
      </c>
      <c r="E704" s="66">
        <v>1.3</v>
      </c>
      <c r="F704" s="66">
        <v>11.5</v>
      </c>
      <c r="G704" s="66">
        <v>64</v>
      </c>
      <c r="H704" s="66">
        <v>0.02</v>
      </c>
      <c r="I704" s="66">
        <v>0.3</v>
      </c>
      <c r="J704" s="66">
        <v>9.5</v>
      </c>
      <c r="K704" s="66">
        <v>0</v>
      </c>
      <c r="L704" s="66">
        <v>59.1</v>
      </c>
      <c r="M704" s="66">
        <v>45.9</v>
      </c>
      <c r="N704" s="66">
        <v>10.5</v>
      </c>
      <c r="O704" s="75">
        <v>0.87</v>
      </c>
    </row>
    <row r="705" spans="1:16" ht="15.75" x14ac:dyDescent="0.25">
      <c r="A705" s="65"/>
      <c r="B705" s="76" t="s">
        <v>134</v>
      </c>
      <c r="C705" s="74">
        <v>50</v>
      </c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75"/>
    </row>
    <row r="706" spans="1:16" ht="15.75" x14ac:dyDescent="0.25">
      <c r="A706" s="65"/>
      <c r="B706" s="76" t="s">
        <v>130</v>
      </c>
      <c r="C706" s="74">
        <v>10</v>
      </c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75"/>
    </row>
    <row r="707" spans="1:16" ht="15.75" x14ac:dyDescent="0.25">
      <c r="A707" s="65"/>
      <c r="B707" s="76" t="s">
        <v>169</v>
      </c>
      <c r="C707" s="74">
        <v>1</v>
      </c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75"/>
    </row>
    <row r="708" spans="1:16" s="11" customFormat="1" ht="15.75" x14ac:dyDescent="0.25">
      <c r="A708" s="65"/>
      <c r="B708" s="73" t="s">
        <v>32</v>
      </c>
      <c r="C708" s="74">
        <v>40</v>
      </c>
      <c r="D708" s="66">
        <v>3.3</v>
      </c>
      <c r="E708" s="66">
        <v>0.6</v>
      </c>
      <c r="F708" s="66">
        <v>16.7</v>
      </c>
      <c r="G708" s="66">
        <v>87</v>
      </c>
      <c r="H708" s="66">
        <v>0.09</v>
      </c>
      <c r="I708" s="66">
        <v>0</v>
      </c>
      <c r="J708" s="66">
        <v>0</v>
      </c>
      <c r="K708" s="66">
        <v>0.7</v>
      </c>
      <c r="L708" s="66">
        <v>17.5</v>
      </c>
      <c r="M708" s="66">
        <v>79</v>
      </c>
      <c r="N708" s="66">
        <v>23.5</v>
      </c>
      <c r="O708" s="75">
        <v>1.95</v>
      </c>
    </row>
    <row r="709" spans="1:16" s="11" customFormat="1" ht="15.75" x14ac:dyDescent="0.25">
      <c r="A709" s="65"/>
      <c r="B709" s="73" t="s">
        <v>51</v>
      </c>
      <c r="C709" s="74">
        <v>40</v>
      </c>
      <c r="D709" s="66">
        <v>3.8</v>
      </c>
      <c r="E709" s="66">
        <v>0.4</v>
      </c>
      <c r="F709" s="66">
        <v>24.6</v>
      </c>
      <c r="G709" s="66">
        <v>117.5</v>
      </c>
      <c r="H709" s="66">
        <v>5.5E-2</v>
      </c>
      <c r="I709" s="66">
        <v>0</v>
      </c>
      <c r="J709" s="66">
        <v>0</v>
      </c>
      <c r="K709" s="66">
        <v>0.55000000000000004</v>
      </c>
      <c r="L709" s="66">
        <v>10</v>
      </c>
      <c r="M709" s="66">
        <v>32.5</v>
      </c>
      <c r="N709" s="66">
        <v>7</v>
      </c>
      <c r="O709" s="75">
        <v>0.55000000000000004</v>
      </c>
    </row>
    <row r="710" spans="1:16" s="11" customFormat="1" ht="15.75" x14ac:dyDescent="0.25">
      <c r="A710" s="65"/>
      <c r="B710" s="73" t="s">
        <v>343</v>
      </c>
      <c r="C710" s="74">
        <v>200</v>
      </c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98"/>
    </row>
    <row r="711" spans="1:16" s="10" customFormat="1" ht="15.75" x14ac:dyDescent="0.25">
      <c r="A711" s="26"/>
      <c r="B711" s="73" t="s">
        <v>355</v>
      </c>
      <c r="C711" s="71"/>
      <c r="D711" s="72">
        <f t="shared" ref="D711:O711" si="36">D712+D714+D721+D729+D733+D734</f>
        <v>35.228695652173911</v>
      </c>
      <c r="E711" s="72">
        <f t="shared" si="36"/>
        <v>26.967826086956524</v>
      </c>
      <c r="F711" s="72">
        <f t="shared" si="36"/>
        <v>91.880434782608702</v>
      </c>
      <c r="G711" s="72">
        <f t="shared" si="36"/>
        <v>752.95652173913049</v>
      </c>
      <c r="H711" s="72">
        <f t="shared" si="36"/>
        <v>0.50891304347826094</v>
      </c>
      <c r="I711" s="72">
        <f t="shared" si="36"/>
        <v>28.091304347826085</v>
      </c>
      <c r="J711" s="72">
        <f t="shared" si="36"/>
        <v>13</v>
      </c>
      <c r="K711" s="72">
        <f t="shared" si="36"/>
        <v>6.6217391304347819</v>
      </c>
      <c r="L711" s="72">
        <f t="shared" si="36"/>
        <v>137.63478260869567</v>
      </c>
      <c r="M711" s="72">
        <f t="shared" si="36"/>
        <v>552.02</v>
      </c>
      <c r="N711" s="72">
        <f t="shared" si="36"/>
        <v>141.62217391304347</v>
      </c>
      <c r="O711" s="72">
        <f t="shared" si="36"/>
        <v>9.1847826086956523</v>
      </c>
      <c r="P711" s="6"/>
    </row>
    <row r="712" spans="1:16" s="11" customFormat="1" ht="31.5" x14ac:dyDescent="0.25">
      <c r="A712" s="65">
        <v>148</v>
      </c>
      <c r="B712" s="73" t="s">
        <v>99</v>
      </c>
      <c r="C712" s="74" t="s">
        <v>137</v>
      </c>
      <c r="D712" s="66">
        <v>0.8</v>
      </c>
      <c r="E712" s="66">
        <v>0.1</v>
      </c>
      <c r="F712" s="66">
        <v>2.5</v>
      </c>
      <c r="G712" s="66">
        <v>14</v>
      </c>
      <c r="H712" s="66">
        <v>0.03</v>
      </c>
      <c r="I712" s="66">
        <v>10</v>
      </c>
      <c r="J712" s="66">
        <v>0</v>
      </c>
      <c r="K712" s="66">
        <v>0.1</v>
      </c>
      <c r="L712" s="66">
        <v>23</v>
      </c>
      <c r="M712" s="66">
        <v>42</v>
      </c>
      <c r="N712" s="66">
        <v>14</v>
      </c>
      <c r="O712" s="75">
        <v>0.6</v>
      </c>
    </row>
    <row r="713" spans="1:16" ht="15.75" x14ac:dyDescent="0.25">
      <c r="A713" s="65"/>
      <c r="B713" s="76" t="s">
        <v>13</v>
      </c>
      <c r="C713" s="74">
        <v>100</v>
      </c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75"/>
    </row>
    <row r="714" spans="1:16" s="11" customFormat="1" ht="15.75" x14ac:dyDescent="0.25">
      <c r="A714" s="65">
        <v>121</v>
      </c>
      <c r="B714" s="73" t="s">
        <v>100</v>
      </c>
      <c r="C714" s="74" t="s">
        <v>129</v>
      </c>
      <c r="D714" s="66">
        <v>6.92</v>
      </c>
      <c r="E714" s="66">
        <v>2.3199999999999998</v>
      </c>
      <c r="F714" s="66">
        <v>12.25</v>
      </c>
      <c r="G714" s="66">
        <v>97.5</v>
      </c>
      <c r="H714" s="66">
        <v>0.14000000000000001</v>
      </c>
      <c r="I714" s="66">
        <v>9.4</v>
      </c>
      <c r="J714" s="66">
        <v>13</v>
      </c>
      <c r="K714" s="66">
        <v>0.4</v>
      </c>
      <c r="L714" s="66">
        <v>36.950000000000003</v>
      </c>
      <c r="M714" s="66">
        <v>130.52000000000001</v>
      </c>
      <c r="N714" s="66">
        <v>34.57</v>
      </c>
      <c r="O714" s="75">
        <v>1.0900000000000001</v>
      </c>
    </row>
    <row r="715" spans="1:16" ht="15.75" x14ac:dyDescent="0.25">
      <c r="A715" s="65"/>
      <c r="B715" s="76" t="s">
        <v>218</v>
      </c>
      <c r="C715" s="74">
        <v>5</v>
      </c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75"/>
    </row>
    <row r="716" spans="1:16" ht="15.75" x14ac:dyDescent="0.25">
      <c r="A716" s="65"/>
      <c r="B716" s="76" t="s">
        <v>131</v>
      </c>
      <c r="C716" s="74">
        <v>2.5</v>
      </c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75"/>
    </row>
    <row r="717" spans="1:16" ht="15.75" x14ac:dyDescent="0.25">
      <c r="A717" s="65"/>
      <c r="B717" s="76" t="s">
        <v>20</v>
      </c>
      <c r="C717" s="74">
        <v>2</v>
      </c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75"/>
    </row>
    <row r="718" spans="1:16" ht="15.75" x14ac:dyDescent="0.25">
      <c r="A718" s="65"/>
      <c r="B718" s="76" t="s">
        <v>317</v>
      </c>
      <c r="C718" s="74">
        <v>30.1</v>
      </c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75"/>
    </row>
    <row r="719" spans="1:16" ht="15.75" x14ac:dyDescent="0.25">
      <c r="A719" s="65"/>
      <c r="B719" s="76" t="s">
        <v>141</v>
      </c>
      <c r="C719" s="74">
        <v>12.5</v>
      </c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75"/>
    </row>
    <row r="720" spans="1:16" ht="15.75" x14ac:dyDescent="0.25">
      <c r="A720" s="65"/>
      <c r="B720" s="76" t="s">
        <v>171</v>
      </c>
      <c r="C720" s="74">
        <v>86.25</v>
      </c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75"/>
    </row>
    <row r="721" spans="1:16" s="11" customFormat="1" ht="15.75" x14ac:dyDescent="0.25">
      <c r="A721" s="65">
        <v>325</v>
      </c>
      <c r="B721" s="73" t="s">
        <v>53</v>
      </c>
      <c r="C721" s="74">
        <v>250</v>
      </c>
      <c r="D721" s="66">
        <f>18.5/230*250</f>
        <v>20.10869565217391</v>
      </c>
      <c r="E721" s="66">
        <f>21.48/230*250</f>
        <v>23.347826086956523</v>
      </c>
      <c r="F721" s="66">
        <f>19.9/230*250</f>
        <v>21.630434782608695</v>
      </c>
      <c r="G721" s="66">
        <f>346.8/230*250</f>
        <v>376.95652173913049</v>
      </c>
      <c r="H721" s="66">
        <f>0.16/230*250</f>
        <v>0.17391304347826089</v>
      </c>
      <c r="I721" s="66">
        <f>4.96/230*250</f>
        <v>5.3913043478260869</v>
      </c>
      <c r="J721" s="66">
        <v>0</v>
      </c>
      <c r="K721" s="66">
        <f>4.39/230*250</f>
        <v>4.7717391304347823</v>
      </c>
      <c r="L721" s="66">
        <f>33.75/230*250</f>
        <v>36.684782608695656</v>
      </c>
      <c r="M721" s="66">
        <f>239.2/230*250</f>
        <v>260</v>
      </c>
      <c r="N721" s="66">
        <f>52.12/230*250</f>
        <v>56.652173913043477</v>
      </c>
      <c r="O721" s="75">
        <f>3.62/230*250</f>
        <v>3.9347826086956523</v>
      </c>
    </row>
    <row r="722" spans="1:16" ht="31.5" x14ac:dyDescent="0.25">
      <c r="A722" s="65"/>
      <c r="B722" s="76" t="s">
        <v>172</v>
      </c>
      <c r="C722" s="74">
        <v>91.72</v>
      </c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75"/>
    </row>
    <row r="723" spans="1:16" ht="15.75" x14ac:dyDescent="0.25">
      <c r="A723" s="65"/>
      <c r="B723" s="76" t="s">
        <v>139</v>
      </c>
      <c r="C723" s="74">
        <v>11.55</v>
      </c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75"/>
    </row>
    <row r="724" spans="1:16" ht="15.75" x14ac:dyDescent="0.25">
      <c r="A724" s="65"/>
      <c r="B724" s="76" t="s">
        <v>146</v>
      </c>
      <c r="C724" s="74">
        <v>11.81</v>
      </c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75"/>
    </row>
    <row r="725" spans="1:16" ht="15.75" x14ac:dyDescent="0.25">
      <c r="A725" s="65"/>
      <c r="B725" s="76" t="s">
        <v>159</v>
      </c>
      <c r="C725" s="74">
        <v>3.84</v>
      </c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75"/>
    </row>
    <row r="726" spans="1:16" ht="15.75" x14ac:dyDescent="0.25">
      <c r="A726" s="65"/>
      <c r="B726" s="76" t="s">
        <v>155</v>
      </c>
      <c r="C726" s="74">
        <v>22.89</v>
      </c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75"/>
    </row>
    <row r="727" spans="1:16" ht="15.75" x14ac:dyDescent="0.25">
      <c r="A727" s="65"/>
      <c r="B727" s="76" t="s">
        <v>141</v>
      </c>
      <c r="C727" s="74">
        <v>19.32</v>
      </c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75"/>
    </row>
    <row r="728" spans="1:16" ht="15.75" x14ac:dyDescent="0.25">
      <c r="A728" s="65"/>
      <c r="B728" s="76" t="s">
        <v>171</v>
      </c>
      <c r="C728" s="74">
        <v>154.22999999999999</v>
      </c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75"/>
    </row>
    <row r="729" spans="1:16" s="11" customFormat="1" ht="31.5" x14ac:dyDescent="0.25">
      <c r="A729" s="65">
        <v>488</v>
      </c>
      <c r="B729" s="73" t="s">
        <v>321</v>
      </c>
      <c r="C729" s="74" t="s">
        <v>135</v>
      </c>
      <c r="D729" s="66">
        <v>0.3</v>
      </c>
      <c r="E729" s="66">
        <v>0.2</v>
      </c>
      <c r="F729" s="66">
        <v>14.2</v>
      </c>
      <c r="G729" s="66">
        <v>60</v>
      </c>
      <c r="H729" s="66">
        <v>0.02</v>
      </c>
      <c r="I729" s="66">
        <v>3.3</v>
      </c>
      <c r="J729" s="66">
        <v>0</v>
      </c>
      <c r="K729" s="66">
        <v>0.1</v>
      </c>
      <c r="L729" s="66">
        <v>13.5</v>
      </c>
      <c r="M729" s="66">
        <v>8</v>
      </c>
      <c r="N729" s="66">
        <v>5.9</v>
      </c>
      <c r="O729" s="75">
        <v>1.06</v>
      </c>
    </row>
    <row r="730" spans="1:16" s="11" customFormat="1" ht="31.5" x14ac:dyDescent="0.25">
      <c r="A730" s="65"/>
      <c r="B730" s="69" t="s">
        <v>322</v>
      </c>
      <c r="C730" s="74">
        <v>36.9</v>
      </c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75"/>
    </row>
    <row r="731" spans="1:16" s="11" customFormat="1" ht="31.5" x14ac:dyDescent="0.25">
      <c r="A731" s="65"/>
      <c r="B731" s="69" t="s">
        <v>323</v>
      </c>
      <c r="C731" s="74">
        <v>39.5</v>
      </c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75"/>
    </row>
    <row r="732" spans="1:16" ht="15.75" x14ac:dyDescent="0.25">
      <c r="A732" s="65"/>
      <c r="B732" s="76" t="s">
        <v>130</v>
      </c>
      <c r="C732" s="74">
        <v>10</v>
      </c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75"/>
    </row>
    <row r="733" spans="1:16" s="11" customFormat="1" ht="15.75" x14ac:dyDescent="0.25">
      <c r="A733" s="65"/>
      <c r="B733" s="73" t="s">
        <v>51</v>
      </c>
      <c r="C733" s="74">
        <v>40</v>
      </c>
      <c r="D733" s="66">
        <v>3.8</v>
      </c>
      <c r="E733" s="66">
        <v>0.4</v>
      </c>
      <c r="F733" s="66">
        <v>24.6</v>
      </c>
      <c r="G733" s="66">
        <v>117.5</v>
      </c>
      <c r="H733" s="66">
        <v>5.5E-2</v>
      </c>
      <c r="I733" s="66">
        <v>0</v>
      </c>
      <c r="J733" s="66">
        <v>0</v>
      </c>
      <c r="K733" s="66">
        <v>0.55000000000000004</v>
      </c>
      <c r="L733" s="66">
        <v>10</v>
      </c>
      <c r="M733" s="66">
        <v>32.5</v>
      </c>
      <c r="N733" s="66">
        <v>7</v>
      </c>
      <c r="O733" s="75">
        <v>0.55000000000000004</v>
      </c>
    </row>
    <row r="734" spans="1:16" s="11" customFormat="1" ht="15.75" x14ac:dyDescent="0.25">
      <c r="A734" s="65"/>
      <c r="B734" s="73" t="s">
        <v>32</v>
      </c>
      <c r="C734" s="74">
        <v>40</v>
      </c>
      <c r="D734" s="66">
        <v>3.3</v>
      </c>
      <c r="E734" s="66">
        <v>0.6</v>
      </c>
      <c r="F734" s="66">
        <v>16.7</v>
      </c>
      <c r="G734" s="66">
        <v>87</v>
      </c>
      <c r="H734" s="66">
        <v>0.09</v>
      </c>
      <c r="I734" s="66">
        <v>0</v>
      </c>
      <c r="J734" s="66">
        <v>0</v>
      </c>
      <c r="K734" s="66">
        <v>0.7</v>
      </c>
      <c r="L734" s="66">
        <v>17.5</v>
      </c>
      <c r="M734" s="66">
        <v>79</v>
      </c>
      <c r="N734" s="66">
        <v>23.5</v>
      </c>
      <c r="O734" s="75">
        <v>1.95</v>
      </c>
    </row>
    <row r="735" spans="1:16" s="10" customFormat="1" ht="15.75" x14ac:dyDescent="0.25">
      <c r="A735" s="26"/>
      <c r="B735" s="73" t="s">
        <v>378</v>
      </c>
      <c r="C735" s="71"/>
      <c r="D735" s="72">
        <f t="shared" ref="D735:O735" si="37">D736+D743+D749+D753+D757+D758+D759</f>
        <v>32.216000000000001</v>
      </c>
      <c r="E735" s="72">
        <f t="shared" si="37"/>
        <v>23.106000000000002</v>
      </c>
      <c r="F735" s="72">
        <f t="shared" si="37"/>
        <v>123.69466666666668</v>
      </c>
      <c r="G735" s="72">
        <f t="shared" si="37"/>
        <v>834.35733333333326</v>
      </c>
      <c r="H735" s="72">
        <f t="shared" si="37"/>
        <v>0.42766666666666669</v>
      </c>
      <c r="I735" s="72">
        <f t="shared" si="37"/>
        <v>8.516</v>
      </c>
      <c r="J735" s="72">
        <f t="shared" si="37"/>
        <v>65.900000000000006</v>
      </c>
      <c r="K735" s="72">
        <f t="shared" si="37"/>
        <v>4.5620000000000003</v>
      </c>
      <c r="L735" s="72">
        <f t="shared" si="37"/>
        <v>143.38066666666668</v>
      </c>
      <c r="M735" s="72">
        <f t="shared" si="37"/>
        <v>566.17866666666657</v>
      </c>
      <c r="N735" s="72">
        <f t="shared" si="37"/>
        <v>120.56000000000002</v>
      </c>
      <c r="O735" s="72">
        <f t="shared" si="37"/>
        <v>8.647333333333334</v>
      </c>
      <c r="P735" s="6"/>
    </row>
    <row r="736" spans="1:16" s="11" customFormat="1" ht="31.5" x14ac:dyDescent="0.25">
      <c r="A736" s="65">
        <v>116</v>
      </c>
      <c r="B736" s="73" t="s">
        <v>101</v>
      </c>
      <c r="C736" s="74">
        <v>250</v>
      </c>
      <c r="D736" s="66">
        <v>2.67</v>
      </c>
      <c r="E736" s="66">
        <v>2.57</v>
      </c>
      <c r="F736" s="66">
        <v>16.75</v>
      </c>
      <c r="G736" s="66">
        <v>100.75</v>
      </c>
      <c r="H736" s="66">
        <v>0.1</v>
      </c>
      <c r="I736" s="66">
        <v>7.77</v>
      </c>
      <c r="J736" s="66">
        <v>1.7</v>
      </c>
      <c r="K736" s="66">
        <v>1.37</v>
      </c>
      <c r="L736" s="66">
        <v>22.9</v>
      </c>
      <c r="M736" s="66">
        <v>66.400000000000006</v>
      </c>
      <c r="N736" s="66">
        <v>24.32</v>
      </c>
      <c r="O736" s="75">
        <v>1.8</v>
      </c>
    </row>
    <row r="737" spans="1:15" ht="15.75" x14ac:dyDescent="0.25">
      <c r="A737" s="65"/>
      <c r="B737" s="76" t="s">
        <v>141</v>
      </c>
      <c r="C737" s="74">
        <v>10.07</v>
      </c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75"/>
    </row>
    <row r="738" spans="1:15" ht="15.75" x14ac:dyDescent="0.25">
      <c r="A738" s="65"/>
      <c r="B738" s="76" t="s">
        <v>142</v>
      </c>
      <c r="C738" s="74">
        <v>9.75</v>
      </c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75"/>
    </row>
    <row r="739" spans="1:15" ht="15.75" x14ac:dyDescent="0.25">
      <c r="A739" s="65"/>
      <c r="B739" s="76" t="s">
        <v>20</v>
      </c>
      <c r="C739" s="74">
        <v>2</v>
      </c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75"/>
    </row>
    <row r="740" spans="1:15" ht="15.75" x14ac:dyDescent="0.25">
      <c r="A740" s="65"/>
      <c r="B740" s="76" t="s">
        <v>160</v>
      </c>
      <c r="C740" s="74">
        <v>12.5</v>
      </c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75"/>
    </row>
    <row r="741" spans="1:15" ht="15.75" x14ac:dyDescent="0.25">
      <c r="A741" s="65"/>
      <c r="B741" s="76" t="s">
        <v>171</v>
      </c>
      <c r="C741" s="74">
        <v>50.05</v>
      </c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75"/>
    </row>
    <row r="742" spans="1:15" ht="15.75" x14ac:dyDescent="0.25">
      <c r="A742" s="65"/>
      <c r="B742" s="76" t="s">
        <v>146</v>
      </c>
      <c r="C742" s="74">
        <v>2.5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75"/>
    </row>
    <row r="743" spans="1:15" s="11" customFormat="1" ht="15.75" x14ac:dyDescent="0.25">
      <c r="A743" s="65">
        <v>344</v>
      </c>
      <c r="B743" s="73" t="s">
        <v>102</v>
      </c>
      <c r="C743" s="74" t="s">
        <v>137</v>
      </c>
      <c r="D743" s="66">
        <v>15.6</v>
      </c>
      <c r="E743" s="66">
        <v>12.3</v>
      </c>
      <c r="F743" s="66">
        <v>6.6</v>
      </c>
      <c r="G743" s="66">
        <v>200</v>
      </c>
      <c r="H743" s="66">
        <v>0.06</v>
      </c>
      <c r="I743" s="66">
        <v>0</v>
      </c>
      <c r="J743" s="66">
        <v>28.4</v>
      </c>
      <c r="K743" s="66">
        <v>0.5</v>
      </c>
      <c r="L743" s="66">
        <v>17.100000000000001</v>
      </c>
      <c r="M743" s="66">
        <v>165.4</v>
      </c>
      <c r="N743" s="66">
        <v>19.3</v>
      </c>
      <c r="O743" s="75">
        <v>2.4300000000000002</v>
      </c>
    </row>
    <row r="744" spans="1:15" ht="15.75" x14ac:dyDescent="0.25">
      <c r="A744" s="65"/>
      <c r="B744" s="76" t="s">
        <v>146</v>
      </c>
      <c r="C744" s="74">
        <v>2</v>
      </c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75"/>
    </row>
    <row r="745" spans="1:15" ht="15.75" x14ac:dyDescent="0.25">
      <c r="A745" s="65"/>
      <c r="B745" s="76" t="s">
        <v>200</v>
      </c>
      <c r="C745" s="74">
        <v>75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75"/>
    </row>
    <row r="746" spans="1:15" ht="15.75" x14ac:dyDescent="0.25">
      <c r="A746" s="65"/>
      <c r="B746" s="76" t="s">
        <v>20</v>
      </c>
      <c r="C746" s="74">
        <v>0.4</v>
      </c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75"/>
    </row>
    <row r="747" spans="1:15" ht="15.75" x14ac:dyDescent="0.25">
      <c r="A747" s="65"/>
      <c r="B747" s="76" t="s">
        <v>185</v>
      </c>
      <c r="C747" s="74">
        <v>11.3</v>
      </c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75"/>
    </row>
    <row r="748" spans="1:15" ht="15.75" x14ac:dyDescent="0.25">
      <c r="A748" s="65"/>
      <c r="B748" s="76" t="s">
        <v>51</v>
      </c>
      <c r="C748" s="74">
        <v>14</v>
      </c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75"/>
    </row>
    <row r="749" spans="1:15" s="11" customFormat="1" ht="15.75" x14ac:dyDescent="0.25">
      <c r="A749" s="65">
        <v>208</v>
      </c>
      <c r="B749" s="73" t="s">
        <v>103</v>
      </c>
      <c r="C749" s="74" t="s">
        <v>151</v>
      </c>
      <c r="D749" s="66">
        <f>4.89/150*180</f>
        <v>5.8679999999999994</v>
      </c>
      <c r="E749" s="66">
        <f>4.99/150*180</f>
        <v>5.9879999999999995</v>
      </c>
      <c r="F749" s="66">
        <f>31.12/150*180</f>
        <v>37.344000000000001</v>
      </c>
      <c r="G749" s="66">
        <f>1.26*180</f>
        <v>226.8</v>
      </c>
      <c r="H749" s="66">
        <f>0.09/150*180</f>
        <v>0.10799999999999998</v>
      </c>
      <c r="I749" s="66">
        <v>0</v>
      </c>
      <c r="J749" s="66">
        <f>0.16*180</f>
        <v>28.8</v>
      </c>
      <c r="K749" s="66">
        <f>0.81/150*180</f>
        <v>0.97200000000000009</v>
      </c>
      <c r="L749" s="66">
        <f>43.96/150*180</f>
        <v>52.752000000000002</v>
      </c>
      <c r="M749" s="66">
        <f>168.76/150*180</f>
        <v>202.512</v>
      </c>
      <c r="N749" s="66">
        <f>24.46/150*180</f>
        <v>29.352</v>
      </c>
      <c r="O749" s="75">
        <f>0.91/150*180</f>
        <v>1.0920000000000001</v>
      </c>
    </row>
    <row r="750" spans="1:15" s="11" customFormat="1" ht="31.5" x14ac:dyDescent="0.25">
      <c r="A750" s="65"/>
      <c r="B750" s="73" t="s">
        <v>348</v>
      </c>
      <c r="C750" s="74">
        <f>1/150*180</f>
        <v>1.2000000000000002</v>
      </c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75"/>
    </row>
    <row r="751" spans="1:15" ht="15.75" x14ac:dyDescent="0.25">
      <c r="A751" s="65"/>
      <c r="B751" s="76" t="s">
        <v>205</v>
      </c>
      <c r="C751" s="74">
        <f>49.35/150*180</f>
        <v>59.220000000000006</v>
      </c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75"/>
    </row>
    <row r="752" spans="1:15" ht="15.75" x14ac:dyDescent="0.25">
      <c r="A752" s="65"/>
      <c r="B752" s="76" t="s">
        <v>131</v>
      </c>
      <c r="C752" s="74">
        <f>6/150*180</f>
        <v>7.2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75"/>
    </row>
    <row r="753" spans="1:16" s="11" customFormat="1" ht="15.75" x14ac:dyDescent="0.25">
      <c r="A753" s="65">
        <v>495</v>
      </c>
      <c r="B753" s="73" t="s">
        <v>318</v>
      </c>
      <c r="C753" s="74" t="s">
        <v>135</v>
      </c>
      <c r="D753" s="66">
        <v>0.6</v>
      </c>
      <c r="E753" s="66">
        <v>0.1</v>
      </c>
      <c r="F753" s="66">
        <v>20.100000000000001</v>
      </c>
      <c r="G753" s="66">
        <v>84</v>
      </c>
      <c r="H753" s="66">
        <v>0.01</v>
      </c>
      <c r="I753" s="66">
        <v>0.2</v>
      </c>
      <c r="J753" s="66">
        <v>0</v>
      </c>
      <c r="K753" s="66">
        <v>0.4</v>
      </c>
      <c r="L753" s="66">
        <v>20.100000000000001</v>
      </c>
      <c r="M753" s="66">
        <v>19.2</v>
      </c>
      <c r="N753" s="66">
        <v>14.4</v>
      </c>
      <c r="O753" s="75">
        <v>0.69</v>
      </c>
    </row>
    <row r="754" spans="1:16" ht="15.75" x14ac:dyDescent="0.25">
      <c r="A754" s="65"/>
      <c r="B754" s="76" t="s">
        <v>319</v>
      </c>
      <c r="C754" s="74">
        <v>20</v>
      </c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75"/>
      <c r="P754" s="11"/>
    </row>
    <row r="755" spans="1:16" ht="15.75" x14ac:dyDescent="0.25">
      <c r="A755" s="65"/>
      <c r="B755" s="76" t="s">
        <v>17</v>
      </c>
      <c r="C755" s="74">
        <v>10</v>
      </c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75"/>
      <c r="P755" s="11"/>
    </row>
    <row r="756" spans="1:16" ht="15.75" x14ac:dyDescent="0.25">
      <c r="A756" s="65"/>
      <c r="B756" s="76" t="s">
        <v>130</v>
      </c>
      <c r="C756" s="74">
        <v>10</v>
      </c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75"/>
    </row>
    <row r="757" spans="1:16" s="11" customFormat="1" ht="15.75" x14ac:dyDescent="0.25">
      <c r="A757" s="65"/>
      <c r="B757" s="73" t="s">
        <v>51</v>
      </c>
      <c r="C757" s="74">
        <v>40</v>
      </c>
      <c r="D757" s="66">
        <v>3.8</v>
      </c>
      <c r="E757" s="66">
        <v>0.4</v>
      </c>
      <c r="F757" s="66">
        <v>24.6</v>
      </c>
      <c r="G757" s="66">
        <v>117.5</v>
      </c>
      <c r="H757" s="66">
        <v>5.5E-2</v>
      </c>
      <c r="I757" s="66">
        <v>0</v>
      </c>
      <c r="J757" s="66">
        <v>0</v>
      </c>
      <c r="K757" s="66">
        <v>0.55000000000000004</v>
      </c>
      <c r="L757" s="66">
        <v>10</v>
      </c>
      <c r="M757" s="66">
        <v>32.5</v>
      </c>
      <c r="N757" s="66">
        <v>7</v>
      </c>
      <c r="O757" s="75">
        <v>0.55000000000000004</v>
      </c>
    </row>
    <row r="758" spans="1:16" s="11" customFormat="1" ht="15.75" x14ac:dyDescent="0.25">
      <c r="A758" s="65"/>
      <c r="B758" s="73" t="s">
        <v>32</v>
      </c>
      <c r="C758" s="74">
        <v>40</v>
      </c>
      <c r="D758" s="66">
        <v>3.3</v>
      </c>
      <c r="E758" s="66">
        <v>0.6</v>
      </c>
      <c r="F758" s="66">
        <v>16.7</v>
      </c>
      <c r="G758" s="66">
        <v>87</v>
      </c>
      <c r="H758" s="66">
        <v>0.09</v>
      </c>
      <c r="I758" s="66">
        <v>0</v>
      </c>
      <c r="J758" s="66">
        <v>0</v>
      </c>
      <c r="K758" s="66">
        <v>0.7</v>
      </c>
      <c r="L758" s="66">
        <v>17.5</v>
      </c>
      <c r="M758" s="66">
        <v>79</v>
      </c>
      <c r="N758" s="66">
        <v>23.5</v>
      </c>
      <c r="O758" s="75">
        <v>1.95</v>
      </c>
    </row>
    <row r="759" spans="1:16" s="11" customFormat="1" ht="15.75" x14ac:dyDescent="0.25">
      <c r="A759" s="65">
        <v>419</v>
      </c>
      <c r="B759" s="73" t="s">
        <v>40</v>
      </c>
      <c r="C759" s="74">
        <v>35</v>
      </c>
      <c r="D759" s="66">
        <f>0.81/75*35</f>
        <v>0.378</v>
      </c>
      <c r="E759" s="66">
        <f>2.46/75*35</f>
        <v>1.1480000000000001</v>
      </c>
      <c r="F759" s="66">
        <f>3.43/75*35</f>
        <v>1.6006666666666667</v>
      </c>
      <c r="G759" s="66">
        <f>39.23/75*35</f>
        <v>18.307333333333332</v>
      </c>
      <c r="H759" s="66">
        <f>0.01/75*35</f>
        <v>4.6666666666666671E-3</v>
      </c>
      <c r="I759" s="66">
        <f>1.17/75*35</f>
        <v>0.54599999999999993</v>
      </c>
      <c r="J759" s="66">
        <f>0.2*35</f>
        <v>7</v>
      </c>
      <c r="K759" s="66">
        <f>0.15/75*35</f>
        <v>7.0000000000000007E-2</v>
      </c>
      <c r="L759" s="66">
        <f>6.49/75*35</f>
        <v>3.0286666666666666</v>
      </c>
      <c r="M759" s="66">
        <f>2.5/75*35</f>
        <v>1.1666666666666667</v>
      </c>
      <c r="N759" s="66">
        <f>5.76/75*35</f>
        <v>2.6879999999999997</v>
      </c>
      <c r="O759" s="75">
        <f>0.29/75*35</f>
        <v>0.13533333333333331</v>
      </c>
    </row>
    <row r="760" spans="1:16" ht="15.75" x14ac:dyDescent="0.25">
      <c r="A760" s="65"/>
      <c r="B760" s="76" t="s">
        <v>139</v>
      </c>
      <c r="C760" s="74">
        <f>11.25/75*35</f>
        <v>5.25</v>
      </c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75"/>
    </row>
    <row r="761" spans="1:16" ht="15.75" x14ac:dyDescent="0.25">
      <c r="A761" s="65"/>
      <c r="B761" s="76" t="s">
        <v>130</v>
      </c>
      <c r="C761" s="74">
        <f>1.35/75*35</f>
        <v>0.63000000000000012</v>
      </c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75"/>
    </row>
    <row r="762" spans="1:16" ht="15.75" x14ac:dyDescent="0.25">
      <c r="A762" s="65"/>
      <c r="B762" s="76" t="s">
        <v>131</v>
      </c>
      <c r="C762" s="74">
        <f>3.75/75*35</f>
        <v>1.75</v>
      </c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75"/>
    </row>
    <row r="763" spans="1:16" ht="15.75" x14ac:dyDescent="0.25">
      <c r="A763" s="65"/>
      <c r="B763" s="76" t="s">
        <v>159</v>
      </c>
      <c r="C763" s="74">
        <v>1.75</v>
      </c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75"/>
    </row>
    <row r="764" spans="1:16" s="10" customFormat="1" ht="15.75" x14ac:dyDescent="0.25">
      <c r="A764" s="26"/>
      <c r="B764" s="73" t="s">
        <v>349</v>
      </c>
      <c r="C764" s="71"/>
      <c r="D764" s="72">
        <f>D765+D766</f>
        <v>2.77</v>
      </c>
      <c r="E764" s="72">
        <f t="shared" ref="E764:O764" si="38">E765+E766</f>
        <v>1.41</v>
      </c>
      <c r="F764" s="72">
        <f t="shared" si="38"/>
        <v>22.5</v>
      </c>
      <c r="G764" s="72">
        <f t="shared" si="38"/>
        <v>219.8</v>
      </c>
      <c r="H764" s="72">
        <f t="shared" si="38"/>
        <v>6.4000000000000001E-2</v>
      </c>
      <c r="I764" s="72">
        <f t="shared" si="38"/>
        <v>8</v>
      </c>
      <c r="J764" s="72">
        <f t="shared" si="38"/>
        <v>0</v>
      </c>
      <c r="K764" s="72">
        <f t="shared" si="38"/>
        <v>0.72</v>
      </c>
      <c r="L764" s="72">
        <f t="shared" si="38"/>
        <v>43.3</v>
      </c>
      <c r="M764" s="72">
        <f t="shared" si="38"/>
        <v>15</v>
      </c>
      <c r="N764" s="72">
        <f t="shared" si="38"/>
        <v>2.7</v>
      </c>
      <c r="O764" s="72">
        <f t="shared" si="38"/>
        <v>0.64</v>
      </c>
      <c r="P764" s="6"/>
    </row>
    <row r="765" spans="1:16" s="11" customFormat="1" ht="15.75" x14ac:dyDescent="0.25">
      <c r="A765" s="65"/>
      <c r="B765" s="73" t="s">
        <v>28</v>
      </c>
      <c r="C765" s="74" t="s">
        <v>164</v>
      </c>
      <c r="D765" s="66">
        <v>1.77</v>
      </c>
      <c r="E765" s="66">
        <v>1.41</v>
      </c>
      <c r="F765" s="66">
        <v>22.5</v>
      </c>
      <c r="G765" s="66">
        <v>109.8</v>
      </c>
      <c r="H765" s="66">
        <v>2.4E-2</v>
      </c>
      <c r="I765" s="66">
        <v>0</v>
      </c>
      <c r="J765" s="66">
        <v>0</v>
      </c>
      <c r="K765" s="66">
        <v>0.72</v>
      </c>
      <c r="L765" s="66">
        <v>3.3</v>
      </c>
      <c r="M765" s="66">
        <v>15</v>
      </c>
      <c r="N765" s="66">
        <v>2.7</v>
      </c>
      <c r="O765" s="75">
        <v>0.24</v>
      </c>
    </row>
    <row r="766" spans="1:16" s="11" customFormat="1" ht="15.75" x14ac:dyDescent="0.25">
      <c r="A766" s="65"/>
      <c r="B766" s="73" t="s">
        <v>64</v>
      </c>
      <c r="C766" s="74" t="s">
        <v>135</v>
      </c>
      <c r="D766" s="66">
        <v>1</v>
      </c>
      <c r="E766" s="66">
        <v>0</v>
      </c>
      <c r="F766" s="66">
        <v>0</v>
      </c>
      <c r="G766" s="66">
        <v>110</v>
      </c>
      <c r="H766" s="66">
        <v>0.04</v>
      </c>
      <c r="I766" s="66">
        <v>8</v>
      </c>
      <c r="J766" s="66">
        <v>0</v>
      </c>
      <c r="K766" s="66">
        <v>0</v>
      </c>
      <c r="L766" s="66">
        <v>40</v>
      </c>
      <c r="M766" s="66">
        <v>0</v>
      </c>
      <c r="N766" s="66">
        <v>0</v>
      </c>
      <c r="O766" s="75">
        <v>0.4</v>
      </c>
    </row>
    <row r="767" spans="1:16" ht="16.5" thickBot="1" x14ac:dyDescent="0.3">
      <c r="A767" s="82"/>
      <c r="B767" s="91" t="s">
        <v>65</v>
      </c>
      <c r="C767" s="83">
        <v>200</v>
      </c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5"/>
    </row>
    <row r="768" spans="1:16" s="14" customFormat="1" ht="16.5" thickBot="1" x14ac:dyDescent="0.3">
      <c r="A768" s="12"/>
      <c r="B768" s="77" t="s">
        <v>29</v>
      </c>
      <c r="C768" s="78"/>
      <c r="D768" s="79">
        <f t="shared" ref="D768:O768" si="39">D691+D711+D735+D764</f>
        <v>121.2406956521739</v>
      </c>
      <c r="E768" s="79">
        <f t="shared" si="39"/>
        <v>66.06315942028985</v>
      </c>
      <c r="F768" s="79">
        <f t="shared" si="39"/>
        <v>345.92243478260866</v>
      </c>
      <c r="G768" s="79">
        <f t="shared" si="39"/>
        <v>2575.113855072464</v>
      </c>
      <c r="H768" s="79">
        <f t="shared" si="39"/>
        <v>1.3283797101449277</v>
      </c>
      <c r="I768" s="79">
        <f t="shared" si="39"/>
        <v>45.770304347826084</v>
      </c>
      <c r="J768" s="79">
        <f t="shared" si="39"/>
        <v>174.4</v>
      </c>
      <c r="K768" s="79">
        <f t="shared" si="39"/>
        <v>13.763739130434784</v>
      </c>
      <c r="L768" s="79">
        <f t="shared" si="39"/>
        <v>784.43011594202903</v>
      </c>
      <c r="M768" s="79">
        <f t="shared" si="39"/>
        <v>1758.0953333333332</v>
      </c>
      <c r="N768" s="79">
        <f t="shared" si="39"/>
        <v>360.91817391304346</v>
      </c>
      <c r="O768" s="79">
        <f t="shared" si="39"/>
        <v>23.49944927536232</v>
      </c>
      <c r="P768" s="13"/>
    </row>
    <row r="769" spans="1:16" s="1" customFormat="1" x14ac:dyDescent="0.25">
      <c r="A769" s="15"/>
      <c r="B769" s="16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6" s="1" customFormat="1" ht="18.75" x14ac:dyDescent="0.25">
      <c r="A770" s="2"/>
      <c r="B770" s="3" t="s">
        <v>104</v>
      </c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6" x14ac:dyDescent="0.2">
      <c r="A771" s="101"/>
      <c r="B771" s="102" t="s">
        <v>116</v>
      </c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1:16" ht="15.75" thickBot="1" x14ac:dyDescent="0.25">
      <c r="A772" s="101"/>
      <c r="B772" s="102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1:16" s="8" customFormat="1" ht="16.5" thickBot="1" x14ac:dyDescent="0.3">
      <c r="A773" s="103" t="s">
        <v>5</v>
      </c>
      <c r="B773" s="104" t="s">
        <v>117</v>
      </c>
      <c r="C773" s="105" t="s">
        <v>118</v>
      </c>
      <c r="D773" s="106" t="s">
        <v>3</v>
      </c>
      <c r="E773" s="106"/>
      <c r="F773" s="106"/>
      <c r="G773" s="106" t="s">
        <v>119</v>
      </c>
      <c r="H773" s="106" t="s">
        <v>1</v>
      </c>
      <c r="I773" s="106"/>
      <c r="J773" s="106"/>
      <c r="K773" s="106"/>
      <c r="L773" s="108" t="s">
        <v>2</v>
      </c>
      <c r="M773" s="108"/>
      <c r="N773" s="108"/>
      <c r="O773" s="108"/>
      <c r="P773" s="7"/>
    </row>
    <row r="774" spans="1:16" s="9" customFormat="1" ht="31.5" x14ac:dyDescent="0.25">
      <c r="A774" s="103"/>
      <c r="B774" s="104"/>
      <c r="C774" s="105"/>
      <c r="D774" s="63" t="s">
        <v>120</v>
      </c>
      <c r="E774" s="63" t="s">
        <v>121</v>
      </c>
      <c r="F774" s="63" t="s">
        <v>122</v>
      </c>
      <c r="G774" s="106"/>
      <c r="H774" s="63" t="s">
        <v>123</v>
      </c>
      <c r="I774" s="63" t="s">
        <v>124</v>
      </c>
      <c r="J774" s="63" t="s">
        <v>125</v>
      </c>
      <c r="K774" s="63" t="s">
        <v>126</v>
      </c>
      <c r="L774" s="63" t="s">
        <v>127</v>
      </c>
      <c r="M774" s="63" t="s">
        <v>128</v>
      </c>
      <c r="N774" s="63" t="s">
        <v>0</v>
      </c>
      <c r="O774" s="64" t="s">
        <v>4</v>
      </c>
      <c r="P774" s="1"/>
    </row>
    <row r="775" spans="1:16" s="10" customFormat="1" ht="15.75" x14ac:dyDescent="0.25">
      <c r="A775" s="26"/>
      <c r="B775" s="73" t="s">
        <v>368</v>
      </c>
      <c r="C775" s="71"/>
      <c r="D775" s="72">
        <f>D776+D781+D785+D786+D787</f>
        <v>19.000000000000004</v>
      </c>
      <c r="E775" s="72">
        <f t="shared" ref="E775:O775" si="40">E776+E781+E785+E786+E787</f>
        <v>12.625</v>
      </c>
      <c r="F775" s="72">
        <f t="shared" si="40"/>
        <v>109.00000000000001</v>
      </c>
      <c r="G775" s="72">
        <f t="shared" si="40"/>
        <v>365.85</v>
      </c>
      <c r="H775" s="72">
        <f t="shared" si="40"/>
        <v>0.29749999999999999</v>
      </c>
      <c r="I775" s="72">
        <f t="shared" si="40"/>
        <v>40.5</v>
      </c>
      <c r="J775" s="72">
        <f t="shared" si="40"/>
        <v>70.260000000000005</v>
      </c>
      <c r="K775" s="72">
        <f t="shared" si="40"/>
        <v>1.7350000000000001</v>
      </c>
      <c r="L775" s="72">
        <f t="shared" si="40"/>
        <v>347.4</v>
      </c>
      <c r="M775" s="72">
        <f t="shared" si="40"/>
        <v>426.22500000000002</v>
      </c>
      <c r="N775" s="72">
        <f t="shared" si="40"/>
        <v>110.325</v>
      </c>
      <c r="O775" s="72">
        <f t="shared" si="40"/>
        <v>3.4250000000000003</v>
      </c>
      <c r="P775" s="6"/>
    </row>
    <row r="776" spans="1:16" s="11" customFormat="1" ht="31.5" x14ac:dyDescent="0.25">
      <c r="A776" s="65">
        <v>217</v>
      </c>
      <c r="B776" s="73" t="s">
        <v>105</v>
      </c>
      <c r="C776" s="74" t="s">
        <v>129</v>
      </c>
      <c r="D776" s="66">
        <f>6.24/200*250</f>
        <v>7.8000000000000007</v>
      </c>
      <c r="E776" s="66">
        <f>6.82/200*250</f>
        <v>8.5250000000000004</v>
      </c>
      <c r="F776" s="66">
        <f>37.12/200*250</f>
        <v>46.4</v>
      </c>
      <c r="G776" s="66">
        <f>23.48/200*250</f>
        <v>29.35</v>
      </c>
      <c r="H776" s="66">
        <f>0.05/200*250</f>
        <v>6.25E-2</v>
      </c>
      <c r="I776" s="66">
        <f>1.44/200*250</f>
        <v>1.8</v>
      </c>
      <c r="J776" s="66">
        <f>0.205*250</f>
        <v>51.25</v>
      </c>
      <c r="K776" s="66">
        <f>0.22/200*250</f>
        <v>0.27500000000000002</v>
      </c>
      <c r="L776" s="66">
        <f>138.88/200*250</f>
        <v>173.6</v>
      </c>
      <c r="M776" s="66">
        <f>165.3/200*250</f>
        <v>206.625</v>
      </c>
      <c r="N776" s="66">
        <f>37.22/200*250</f>
        <v>46.524999999999999</v>
      </c>
      <c r="O776" s="75">
        <f>0.14/200*250</f>
        <v>0.17500000000000002</v>
      </c>
    </row>
    <row r="777" spans="1:16" ht="15.75" x14ac:dyDescent="0.25">
      <c r="A777" s="65"/>
      <c r="B777" s="76" t="s">
        <v>149</v>
      </c>
      <c r="C777" s="74">
        <f>44/200*250</f>
        <v>55</v>
      </c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75"/>
    </row>
    <row r="778" spans="1:16" ht="15.75" x14ac:dyDescent="0.25">
      <c r="A778" s="65"/>
      <c r="B778" s="76" t="s">
        <v>130</v>
      </c>
      <c r="C778" s="74">
        <f>5/200*250</f>
        <v>6.25</v>
      </c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75"/>
    </row>
    <row r="779" spans="1:16" ht="15.75" x14ac:dyDescent="0.25">
      <c r="A779" s="65"/>
      <c r="B779" s="76" t="s">
        <v>131</v>
      </c>
      <c r="C779" s="74">
        <v>6.25</v>
      </c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75"/>
    </row>
    <row r="780" spans="1:16" ht="15.75" x14ac:dyDescent="0.25">
      <c r="A780" s="65"/>
      <c r="B780" s="76" t="s">
        <v>134</v>
      </c>
      <c r="C780" s="74">
        <f>110/200*250</f>
        <v>137.5</v>
      </c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75"/>
    </row>
    <row r="781" spans="1:16" s="11" customFormat="1" ht="15.75" x14ac:dyDescent="0.25">
      <c r="A781" s="65">
        <v>462</v>
      </c>
      <c r="B781" s="73" t="s">
        <v>46</v>
      </c>
      <c r="C781" s="74" t="s">
        <v>135</v>
      </c>
      <c r="D781" s="66">
        <v>3.3</v>
      </c>
      <c r="E781" s="66">
        <v>2.9</v>
      </c>
      <c r="F781" s="66">
        <v>13.8</v>
      </c>
      <c r="G781" s="66">
        <v>94</v>
      </c>
      <c r="H781" s="66">
        <v>0.03</v>
      </c>
      <c r="I781" s="66">
        <v>0.7</v>
      </c>
      <c r="J781" s="66">
        <v>19</v>
      </c>
      <c r="K781" s="66">
        <v>0.01</v>
      </c>
      <c r="L781" s="66">
        <v>111.3</v>
      </c>
      <c r="M781" s="66">
        <v>91.1</v>
      </c>
      <c r="N781" s="66">
        <v>22.3</v>
      </c>
      <c r="O781" s="75">
        <v>0.65</v>
      </c>
    </row>
    <row r="782" spans="1:16" ht="15.75" x14ac:dyDescent="0.25">
      <c r="A782" s="65"/>
      <c r="B782" s="76" t="s">
        <v>130</v>
      </c>
      <c r="C782" s="74">
        <v>10</v>
      </c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75"/>
    </row>
    <row r="783" spans="1:16" ht="15.75" x14ac:dyDescent="0.25">
      <c r="A783" s="65"/>
      <c r="B783" s="76" t="s">
        <v>188</v>
      </c>
      <c r="C783" s="74">
        <v>2.4</v>
      </c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75"/>
    </row>
    <row r="784" spans="1:16" ht="15.75" x14ac:dyDescent="0.25">
      <c r="A784" s="65"/>
      <c r="B784" s="76" t="s">
        <v>134</v>
      </c>
      <c r="C784" s="74">
        <v>100</v>
      </c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75"/>
    </row>
    <row r="785" spans="1:16" s="11" customFormat="1" ht="15.75" x14ac:dyDescent="0.25">
      <c r="A785" s="65"/>
      <c r="B785" s="73" t="s">
        <v>51</v>
      </c>
      <c r="C785" s="74">
        <v>40</v>
      </c>
      <c r="D785" s="66">
        <v>3.8</v>
      </c>
      <c r="E785" s="66">
        <v>0.4</v>
      </c>
      <c r="F785" s="66">
        <v>24.6</v>
      </c>
      <c r="G785" s="66">
        <v>117.5</v>
      </c>
      <c r="H785" s="66">
        <v>5.5E-2</v>
      </c>
      <c r="I785" s="66">
        <v>0</v>
      </c>
      <c r="J785" s="66">
        <v>0</v>
      </c>
      <c r="K785" s="66">
        <v>0.55000000000000004</v>
      </c>
      <c r="L785" s="66">
        <v>10</v>
      </c>
      <c r="M785" s="66">
        <v>32.5</v>
      </c>
      <c r="N785" s="66">
        <v>7</v>
      </c>
      <c r="O785" s="75">
        <v>0.55000000000000004</v>
      </c>
    </row>
    <row r="786" spans="1:16" ht="15.75" x14ac:dyDescent="0.25">
      <c r="A786" s="65"/>
      <c r="B786" s="73" t="s">
        <v>32</v>
      </c>
      <c r="C786" s="74">
        <v>40</v>
      </c>
      <c r="D786" s="66">
        <v>3.3</v>
      </c>
      <c r="E786" s="66">
        <v>0.6</v>
      </c>
      <c r="F786" s="66">
        <v>16.7</v>
      </c>
      <c r="G786" s="66">
        <v>87</v>
      </c>
      <c r="H786" s="66">
        <v>0.09</v>
      </c>
      <c r="I786" s="66">
        <v>0</v>
      </c>
      <c r="J786" s="66">
        <v>0</v>
      </c>
      <c r="K786" s="66">
        <v>0.7</v>
      </c>
      <c r="L786" s="66">
        <v>17.5</v>
      </c>
      <c r="M786" s="66">
        <v>79</v>
      </c>
      <c r="N786" s="66">
        <v>23.5</v>
      </c>
      <c r="O786" s="75">
        <v>1.95</v>
      </c>
      <c r="P786" s="11"/>
    </row>
    <row r="787" spans="1:16" ht="15.75" x14ac:dyDescent="0.25">
      <c r="A787" s="65"/>
      <c r="B787" s="73" t="s">
        <v>70</v>
      </c>
      <c r="C787" s="74">
        <v>150</v>
      </c>
      <c r="D787" s="66">
        <v>0.8</v>
      </c>
      <c r="E787" s="66">
        <v>0.2</v>
      </c>
      <c r="F787" s="66">
        <v>7.5</v>
      </c>
      <c r="G787" s="66">
        <v>38</v>
      </c>
      <c r="H787" s="66">
        <v>0.06</v>
      </c>
      <c r="I787" s="66">
        <v>38</v>
      </c>
      <c r="J787" s="66">
        <v>0.01</v>
      </c>
      <c r="K787" s="66">
        <v>0.2</v>
      </c>
      <c r="L787" s="66">
        <v>35</v>
      </c>
      <c r="M787" s="66">
        <v>17</v>
      </c>
      <c r="N787" s="66">
        <v>11</v>
      </c>
      <c r="O787" s="75">
        <v>0.1</v>
      </c>
    </row>
    <row r="788" spans="1:16" s="10" customFormat="1" ht="15.75" x14ac:dyDescent="0.25">
      <c r="A788" s="26"/>
      <c r="B788" s="73" t="s">
        <v>379</v>
      </c>
      <c r="C788" s="71"/>
      <c r="D788" s="72">
        <f t="shared" ref="D788:O788" si="41">D789+D794+D800+D807+D812+D815+D818+D819</f>
        <v>35.669999999999995</v>
      </c>
      <c r="E788" s="72">
        <f t="shared" si="41"/>
        <v>26.860000000000003</v>
      </c>
      <c r="F788" s="72">
        <f t="shared" si="41"/>
        <v>105.89999999999999</v>
      </c>
      <c r="G788" s="72">
        <f t="shared" si="41"/>
        <v>811.51</v>
      </c>
      <c r="H788" s="72">
        <f t="shared" si="41"/>
        <v>0.59000000000000008</v>
      </c>
      <c r="I788" s="72">
        <f t="shared" si="41"/>
        <v>17.680000000000003</v>
      </c>
      <c r="J788" s="72">
        <f t="shared" si="41"/>
        <v>508.22</v>
      </c>
      <c r="K788" s="72">
        <f t="shared" si="41"/>
        <v>8.6180000000000003</v>
      </c>
      <c r="L788" s="72">
        <f t="shared" si="41"/>
        <v>286.42</v>
      </c>
      <c r="M788" s="72">
        <f t="shared" si="41"/>
        <v>617.03</v>
      </c>
      <c r="N788" s="72">
        <f t="shared" si="41"/>
        <v>136.04000000000002</v>
      </c>
      <c r="O788" s="72">
        <f t="shared" si="41"/>
        <v>12.108000000000001</v>
      </c>
      <c r="P788" s="6"/>
    </row>
    <row r="789" spans="1:16" s="11" customFormat="1" ht="15.75" x14ac:dyDescent="0.25">
      <c r="A789" s="65">
        <v>32</v>
      </c>
      <c r="B789" s="73" t="s">
        <v>334</v>
      </c>
      <c r="C789" s="74" t="s">
        <v>137</v>
      </c>
      <c r="D789" s="66">
        <v>3.1</v>
      </c>
      <c r="E789" s="66">
        <v>8.4</v>
      </c>
      <c r="F789" s="66">
        <v>7</v>
      </c>
      <c r="G789" s="66">
        <v>116</v>
      </c>
      <c r="H789" s="66">
        <v>0.02</v>
      </c>
      <c r="I789" s="66">
        <v>4.9000000000000004</v>
      </c>
      <c r="J789" s="66">
        <v>20.2</v>
      </c>
      <c r="K789" s="66">
        <v>3.6</v>
      </c>
      <c r="L789" s="66">
        <v>100.1</v>
      </c>
      <c r="M789" s="66">
        <v>74.3</v>
      </c>
      <c r="N789" s="66">
        <v>20.8</v>
      </c>
      <c r="O789" s="75">
        <v>1.27</v>
      </c>
    </row>
    <row r="790" spans="1:16" ht="15.75" x14ac:dyDescent="0.25">
      <c r="A790" s="65"/>
      <c r="B790" s="76" t="s">
        <v>14</v>
      </c>
      <c r="C790" s="74">
        <v>88</v>
      </c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75"/>
    </row>
    <row r="791" spans="1:16" ht="15.75" x14ac:dyDescent="0.25">
      <c r="A791" s="65"/>
      <c r="B791" s="76" t="s">
        <v>335</v>
      </c>
      <c r="C791" s="74">
        <v>7.7</v>
      </c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75"/>
    </row>
    <row r="792" spans="1:16" ht="15.75" x14ac:dyDescent="0.25">
      <c r="A792" s="65"/>
      <c r="B792" s="76" t="s">
        <v>20</v>
      </c>
      <c r="C792" s="74">
        <v>0.25</v>
      </c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75"/>
    </row>
    <row r="793" spans="1:16" ht="15.75" x14ac:dyDescent="0.25">
      <c r="A793" s="65"/>
      <c r="B793" s="76" t="s">
        <v>146</v>
      </c>
      <c r="C793" s="74">
        <v>6</v>
      </c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75"/>
    </row>
    <row r="794" spans="1:16" s="11" customFormat="1" ht="15.75" x14ac:dyDescent="0.25">
      <c r="A794" s="65">
        <v>131</v>
      </c>
      <c r="B794" s="73" t="s">
        <v>107</v>
      </c>
      <c r="C794" s="74" t="s">
        <v>129</v>
      </c>
      <c r="D794" s="66">
        <v>0.87</v>
      </c>
      <c r="E794" s="66">
        <v>4.3499999999999996</v>
      </c>
      <c r="F794" s="66">
        <v>2.52</v>
      </c>
      <c r="G794" s="66">
        <v>52.75</v>
      </c>
      <c r="H794" s="66">
        <v>1.2999999999999999E-2</v>
      </c>
      <c r="I794" s="66">
        <v>1.8</v>
      </c>
      <c r="J794" s="66">
        <v>0</v>
      </c>
      <c r="K794" s="66">
        <v>2.4500000000000002</v>
      </c>
      <c r="L794" s="66">
        <v>35.200000000000003</v>
      </c>
      <c r="M794" s="66">
        <v>29.37</v>
      </c>
      <c r="N794" s="66">
        <v>13.2</v>
      </c>
      <c r="O794" s="75">
        <v>0.68</v>
      </c>
    </row>
    <row r="795" spans="1:16" ht="15.75" x14ac:dyDescent="0.25">
      <c r="A795" s="65"/>
      <c r="B795" s="76" t="s">
        <v>146</v>
      </c>
      <c r="C795" s="74">
        <v>5</v>
      </c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75"/>
    </row>
    <row r="796" spans="1:16" ht="15.75" x14ac:dyDescent="0.25">
      <c r="A796" s="65"/>
      <c r="B796" s="76" t="s">
        <v>203</v>
      </c>
      <c r="C796" s="74">
        <v>10</v>
      </c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75"/>
    </row>
    <row r="797" spans="1:16" ht="15.75" x14ac:dyDescent="0.25">
      <c r="A797" s="65"/>
      <c r="B797" s="76" t="s">
        <v>141</v>
      </c>
      <c r="C797" s="74">
        <v>10.7</v>
      </c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75"/>
    </row>
    <row r="798" spans="1:16" ht="15.75" x14ac:dyDescent="0.25">
      <c r="A798" s="65"/>
      <c r="B798" s="76" t="s">
        <v>142</v>
      </c>
      <c r="C798" s="74">
        <v>9.75</v>
      </c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75"/>
    </row>
    <row r="799" spans="1:16" ht="15.75" x14ac:dyDescent="0.25">
      <c r="A799" s="65"/>
      <c r="B799" s="76" t="s">
        <v>20</v>
      </c>
      <c r="C799" s="74">
        <v>2</v>
      </c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75"/>
    </row>
    <row r="800" spans="1:16" s="11" customFormat="1" ht="31.5" x14ac:dyDescent="0.25">
      <c r="A800" s="65">
        <v>357</v>
      </c>
      <c r="B800" s="73" t="s">
        <v>108</v>
      </c>
      <c r="C800" s="74" t="s">
        <v>137</v>
      </c>
      <c r="D800" s="66">
        <v>16.899999999999999</v>
      </c>
      <c r="E800" s="66">
        <v>5.3</v>
      </c>
      <c r="F800" s="66">
        <v>14.2</v>
      </c>
      <c r="G800" s="66">
        <v>172</v>
      </c>
      <c r="H800" s="66">
        <v>0.24</v>
      </c>
      <c r="I800" s="66">
        <v>6.7</v>
      </c>
      <c r="J800" s="66">
        <v>6.33</v>
      </c>
      <c r="K800" s="66">
        <v>1.1000000000000001</v>
      </c>
      <c r="L800" s="66">
        <v>20.8</v>
      </c>
      <c r="M800" s="66">
        <v>256.5</v>
      </c>
      <c r="N800" s="66">
        <v>20.399999999999999</v>
      </c>
      <c r="O800" s="75">
        <v>5.0199999999999996</v>
      </c>
    </row>
    <row r="801" spans="1:16" ht="15.75" x14ac:dyDescent="0.25">
      <c r="A801" s="65"/>
      <c r="B801" s="76" t="s">
        <v>219</v>
      </c>
      <c r="C801" s="74">
        <v>80</v>
      </c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75"/>
    </row>
    <row r="802" spans="1:16" ht="15.75" x14ac:dyDescent="0.25">
      <c r="A802" s="65"/>
      <c r="B802" s="76" t="s">
        <v>189</v>
      </c>
      <c r="C802" s="74">
        <v>0.5</v>
      </c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75"/>
    </row>
    <row r="803" spans="1:16" ht="15.75" x14ac:dyDescent="0.25">
      <c r="A803" s="65"/>
      <c r="B803" s="76" t="s">
        <v>131</v>
      </c>
      <c r="C803" s="74">
        <v>2</v>
      </c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75"/>
    </row>
    <row r="804" spans="1:16" ht="15.75" x14ac:dyDescent="0.25">
      <c r="A804" s="65"/>
      <c r="B804" s="76" t="s">
        <v>159</v>
      </c>
      <c r="C804" s="74">
        <v>17</v>
      </c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75"/>
    </row>
    <row r="805" spans="1:16" ht="15.75" x14ac:dyDescent="0.25">
      <c r="A805" s="65"/>
      <c r="B805" s="76" t="s">
        <v>142</v>
      </c>
      <c r="C805" s="74">
        <v>11.7</v>
      </c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75"/>
    </row>
    <row r="806" spans="1:16" ht="15.75" x14ac:dyDescent="0.25">
      <c r="A806" s="65"/>
      <c r="B806" s="76" t="s">
        <v>185</v>
      </c>
      <c r="C806" s="74">
        <v>14.8</v>
      </c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75"/>
    </row>
    <row r="807" spans="1:16" s="11" customFormat="1" ht="15.75" x14ac:dyDescent="0.25">
      <c r="A807" s="65" t="s">
        <v>220</v>
      </c>
      <c r="B807" s="73" t="s">
        <v>320</v>
      </c>
      <c r="C807" s="74">
        <v>35</v>
      </c>
      <c r="D807" s="66">
        <v>1.28</v>
      </c>
      <c r="E807" s="66">
        <v>2.94</v>
      </c>
      <c r="F807" s="66">
        <v>2.5</v>
      </c>
      <c r="G807" s="66">
        <v>41.26</v>
      </c>
      <c r="H807" s="66">
        <v>0.01</v>
      </c>
      <c r="I807" s="66">
        <v>0.22</v>
      </c>
      <c r="J807" s="66">
        <v>17.29</v>
      </c>
      <c r="K807" s="66">
        <v>7.0000000000000007E-2</v>
      </c>
      <c r="L807" s="66">
        <v>39.799999999999997</v>
      </c>
      <c r="M807" s="66">
        <v>29.9</v>
      </c>
      <c r="N807" s="66">
        <v>4.9000000000000004</v>
      </c>
      <c r="O807" s="75">
        <v>7.0000000000000007E-2</v>
      </c>
    </row>
    <row r="808" spans="1:16" ht="15.75" x14ac:dyDescent="0.25">
      <c r="A808" s="65"/>
      <c r="B808" s="76" t="s">
        <v>131</v>
      </c>
      <c r="C808" s="74">
        <v>2.8</v>
      </c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75"/>
    </row>
    <row r="809" spans="1:16" ht="15.75" x14ac:dyDescent="0.25">
      <c r="A809" s="65"/>
      <c r="B809" s="76" t="s">
        <v>20</v>
      </c>
      <c r="C809" s="74">
        <v>0.28000000000000003</v>
      </c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75"/>
    </row>
    <row r="810" spans="1:16" ht="15.75" x14ac:dyDescent="0.25">
      <c r="A810" s="65"/>
      <c r="B810" s="76" t="s">
        <v>159</v>
      </c>
      <c r="C810" s="74">
        <v>2.8</v>
      </c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75"/>
    </row>
    <row r="811" spans="1:16" ht="15.75" x14ac:dyDescent="0.25">
      <c r="A811" s="65"/>
      <c r="B811" s="76" t="s">
        <v>134</v>
      </c>
      <c r="C811" s="74">
        <v>35</v>
      </c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75"/>
    </row>
    <row r="812" spans="1:16" ht="15.75" x14ac:dyDescent="0.25">
      <c r="A812" s="95">
        <v>156</v>
      </c>
      <c r="B812" s="73" t="s">
        <v>221</v>
      </c>
      <c r="C812" s="74">
        <v>180</v>
      </c>
      <c r="D812" s="66">
        <f>5.1/150*180</f>
        <v>6.1199999999999992</v>
      </c>
      <c r="E812" s="66">
        <f>4.05/150*180</f>
        <v>4.8600000000000003</v>
      </c>
      <c r="F812" s="66">
        <f>17.4/150*180</f>
        <v>20.88</v>
      </c>
      <c r="G812" s="66">
        <f>127.5/150*180</f>
        <v>153</v>
      </c>
      <c r="H812" s="66">
        <f>0.135/150*180</f>
        <v>0.16200000000000001</v>
      </c>
      <c r="I812" s="66">
        <f>3.3/150*180</f>
        <v>3.96</v>
      </c>
      <c r="J812" s="66">
        <f>2.58*180</f>
        <v>464.40000000000003</v>
      </c>
      <c r="K812" s="66">
        <f>0.04/150*180</f>
        <v>4.8000000000000001E-2</v>
      </c>
      <c r="L812" s="66">
        <f>38.85/150*180</f>
        <v>46.620000000000005</v>
      </c>
      <c r="M812" s="66">
        <f>87.3/150*180</f>
        <v>104.75999999999999</v>
      </c>
      <c r="N812" s="66">
        <f>34.95/150*180</f>
        <v>41.940000000000005</v>
      </c>
      <c r="O812" s="75">
        <f>1.39/150*180</f>
        <v>1.6679999999999999</v>
      </c>
      <c r="P812" s="25"/>
    </row>
    <row r="813" spans="1:16" ht="31.5" x14ac:dyDescent="0.25">
      <c r="A813" s="95"/>
      <c r="B813" s="76" t="s">
        <v>222</v>
      </c>
      <c r="C813" s="74">
        <f>161.7/150*180</f>
        <v>194.03999999999996</v>
      </c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75"/>
      <c r="P813" s="25"/>
    </row>
    <row r="814" spans="1:16" ht="15.75" x14ac:dyDescent="0.25">
      <c r="A814" s="95"/>
      <c r="B814" s="76" t="s">
        <v>131</v>
      </c>
      <c r="C814" s="74">
        <f>4.5/150*180</f>
        <v>5.3999999999999995</v>
      </c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75"/>
      <c r="P814" s="25"/>
    </row>
    <row r="815" spans="1:16" s="11" customFormat="1" ht="15.75" x14ac:dyDescent="0.25">
      <c r="A815" s="65">
        <v>494</v>
      </c>
      <c r="B815" s="73" t="s">
        <v>288</v>
      </c>
      <c r="C815" s="74" t="s">
        <v>135</v>
      </c>
      <c r="D815" s="66">
        <v>0.3</v>
      </c>
      <c r="E815" s="66">
        <v>0.01</v>
      </c>
      <c r="F815" s="66">
        <v>17.5</v>
      </c>
      <c r="G815" s="66">
        <v>72</v>
      </c>
      <c r="H815" s="66">
        <v>0</v>
      </c>
      <c r="I815" s="66">
        <v>0.1</v>
      </c>
      <c r="J815" s="66">
        <v>0</v>
      </c>
      <c r="K815" s="66">
        <v>0.1</v>
      </c>
      <c r="L815" s="66">
        <v>16.399999999999999</v>
      </c>
      <c r="M815" s="66">
        <v>10.7</v>
      </c>
      <c r="N815" s="66">
        <v>4.3</v>
      </c>
      <c r="O815" s="75">
        <v>0.9</v>
      </c>
    </row>
    <row r="816" spans="1:16" ht="15.75" x14ac:dyDescent="0.25">
      <c r="A816" s="65"/>
      <c r="B816" s="76" t="s">
        <v>289</v>
      </c>
      <c r="C816" s="74">
        <v>25</v>
      </c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75"/>
    </row>
    <row r="817" spans="1:16" ht="15.75" x14ac:dyDescent="0.25">
      <c r="A817" s="65"/>
      <c r="B817" s="76" t="s">
        <v>130</v>
      </c>
      <c r="C817" s="74">
        <v>10</v>
      </c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75"/>
    </row>
    <row r="818" spans="1:16" s="11" customFormat="1" ht="15.75" x14ac:dyDescent="0.25">
      <c r="A818" s="65"/>
      <c r="B818" s="73" t="s">
        <v>51</v>
      </c>
      <c r="C818" s="74">
        <v>40</v>
      </c>
      <c r="D818" s="66">
        <v>3.8</v>
      </c>
      <c r="E818" s="66">
        <v>0.4</v>
      </c>
      <c r="F818" s="66">
        <v>24.6</v>
      </c>
      <c r="G818" s="66">
        <v>117.5</v>
      </c>
      <c r="H818" s="66">
        <v>5.5E-2</v>
      </c>
      <c r="I818" s="66">
        <v>0</v>
      </c>
      <c r="J818" s="66">
        <v>0</v>
      </c>
      <c r="K818" s="66">
        <v>0.55000000000000004</v>
      </c>
      <c r="L818" s="66">
        <v>10</v>
      </c>
      <c r="M818" s="66">
        <v>32.5</v>
      </c>
      <c r="N818" s="66">
        <v>7</v>
      </c>
      <c r="O818" s="75">
        <v>0.55000000000000004</v>
      </c>
    </row>
    <row r="819" spans="1:16" s="11" customFormat="1" ht="15.75" x14ac:dyDescent="0.25">
      <c r="A819" s="65"/>
      <c r="B819" s="73" t="s">
        <v>32</v>
      </c>
      <c r="C819" s="74">
        <v>40</v>
      </c>
      <c r="D819" s="66">
        <v>3.3</v>
      </c>
      <c r="E819" s="66">
        <v>0.6</v>
      </c>
      <c r="F819" s="66">
        <v>16.7</v>
      </c>
      <c r="G819" s="66">
        <v>87</v>
      </c>
      <c r="H819" s="66">
        <v>0.09</v>
      </c>
      <c r="I819" s="66">
        <v>0</v>
      </c>
      <c r="J819" s="66">
        <v>0</v>
      </c>
      <c r="K819" s="66">
        <v>0.7</v>
      </c>
      <c r="L819" s="66">
        <v>17.5</v>
      </c>
      <c r="M819" s="66">
        <v>79</v>
      </c>
      <c r="N819" s="66">
        <v>23.5</v>
      </c>
      <c r="O819" s="75">
        <v>1.95</v>
      </c>
    </row>
    <row r="820" spans="1:16" s="10" customFormat="1" ht="15.75" x14ac:dyDescent="0.25">
      <c r="A820" s="26"/>
      <c r="B820" s="73" t="s">
        <v>376</v>
      </c>
      <c r="C820" s="71"/>
      <c r="D820" s="72">
        <f>D821+D826+D835+D839+D848+D851+D852</f>
        <v>39.102499999999999</v>
      </c>
      <c r="E820" s="72">
        <f t="shared" ref="E820:O820" si="42">E821+E826+E835+E839+E848+E851+E852</f>
        <v>33.92</v>
      </c>
      <c r="F820" s="72">
        <f t="shared" si="42"/>
        <v>85.054999999999993</v>
      </c>
      <c r="G820" s="72">
        <f t="shared" si="42"/>
        <v>807.01250000000005</v>
      </c>
      <c r="H820" s="72">
        <f t="shared" si="42"/>
        <v>0.27249999999999996</v>
      </c>
      <c r="I820" s="72">
        <f t="shared" si="42"/>
        <v>53.194999999999993</v>
      </c>
      <c r="J820" s="72">
        <f t="shared" si="42"/>
        <v>128.78000000000003</v>
      </c>
      <c r="K820" s="72">
        <f t="shared" si="42"/>
        <v>7.2025000000000006</v>
      </c>
      <c r="L820" s="72">
        <f t="shared" si="42"/>
        <v>192.73000000000002</v>
      </c>
      <c r="M820" s="72">
        <f t="shared" si="42"/>
        <v>391.63999999999993</v>
      </c>
      <c r="N820" s="72">
        <f t="shared" si="42"/>
        <v>113.265</v>
      </c>
      <c r="O820" s="72">
        <f t="shared" si="42"/>
        <v>6.6790000000000003</v>
      </c>
      <c r="P820" s="6"/>
    </row>
    <row r="821" spans="1:16" s="11" customFormat="1" ht="31.5" x14ac:dyDescent="0.25">
      <c r="A821" s="65">
        <v>15</v>
      </c>
      <c r="B821" s="73" t="s">
        <v>109</v>
      </c>
      <c r="C821" s="74" t="s">
        <v>137</v>
      </c>
      <c r="D821" s="66">
        <v>0.8</v>
      </c>
      <c r="E821" s="66">
        <v>6.1</v>
      </c>
      <c r="F821" s="66">
        <v>2.6</v>
      </c>
      <c r="G821" s="66">
        <v>69</v>
      </c>
      <c r="H821" s="66">
        <v>0.03</v>
      </c>
      <c r="I821" s="66">
        <v>4.2</v>
      </c>
      <c r="J821" s="66">
        <v>0</v>
      </c>
      <c r="K821" s="66">
        <v>4.5</v>
      </c>
      <c r="L821" s="66">
        <v>19</v>
      </c>
      <c r="M821" s="66">
        <v>32.799999999999997</v>
      </c>
      <c r="N821" s="66">
        <v>13.5</v>
      </c>
      <c r="O821" s="75">
        <v>0.53</v>
      </c>
    </row>
    <row r="822" spans="1:16" ht="15.75" x14ac:dyDescent="0.25">
      <c r="A822" s="65"/>
      <c r="B822" s="76" t="s">
        <v>13</v>
      </c>
      <c r="C822" s="74">
        <v>83.7</v>
      </c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75"/>
    </row>
    <row r="823" spans="1:16" ht="15.75" x14ac:dyDescent="0.25">
      <c r="A823" s="65"/>
      <c r="B823" s="76" t="s">
        <v>20</v>
      </c>
      <c r="C823" s="74">
        <v>0.25</v>
      </c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75"/>
    </row>
    <row r="824" spans="1:16" ht="15.75" x14ac:dyDescent="0.25">
      <c r="A824" s="65"/>
      <c r="B824" s="76" t="s">
        <v>215</v>
      </c>
      <c r="C824" s="74">
        <v>12</v>
      </c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75"/>
    </row>
    <row r="825" spans="1:16" ht="15.75" x14ac:dyDescent="0.25">
      <c r="A825" s="65"/>
      <c r="B825" s="76" t="s">
        <v>146</v>
      </c>
      <c r="C825" s="74">
        <v>6</v>
      </c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75"/>
    </row>
    <row r="826" spans="1:16" s="11" customFormat="1" ht="31.5" x14ac:dyDescent="0.25">
      <c r="A826" s="65">
        <v>116</v>
      </c>
      <c r="B826" s="73" t="s">
        <v>49</v>
      </c>
      <c r="C826" s="74">
        <v>250</v>
      </c>
      <c r="D826" s="66">
        <v>4.2300000000000004</v>
      </c>
      <c r="E826" s="66">
        <v>3.6</v>
      </c>
      <c r="F826" s="66">
        <v>15</v>
      </c>
      <c r="G826" s="66">
        <v>110.2</v>
      </c>
      <c r="H826" s="66">
        <v>0</v>
      </c>
      <c r="I826" s="66">
        <v>0.46</v>
      </c>
      <c r="J826" s="66">
        <v>0</v>
      </c>
      <c r="K826" s="66">
        <v>0</v>
      </c>
      <c r="L826" s="66">
        <v>0.5</v>
      </c>
      <c r="M826" s="66">
        <v>1.4</v>
      </c>
      <c r="N826" s="66">
        <v>0.52</v>
      </c>
      <c r="O826" s="75">
        <v>3.4000000000000002E-2</v>
      </c>
    </row>
    <row r="827" spans="1:16" ht="15.75" x14ac:dyDescent="0.25">
      <c r="A827" s="65"/>
      <c r="B827" s="76" t="s">
        <v>171</v>
      </c>
      <c r="C827" s="74">
        <v>50</v>
      </c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75"/>
    </row>
    <row r="828" spans="1:16" ht="15.75" x14ac:dyDescent="0.25">
      <c r="A828" s="65"/>
      <c r="B828" s="76" t="s">
        <v>141</v>
      </c>
      <c r="C828" s="74">
        <v>10</v>
      </c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75"/>
    </row>
    <row r="829" spans="1:16" ht="15.75" x14ac:dyDescent="0.25">
      <c r="A829" s="65"/>
      <c r="B829" s="76" t="s">
        <v>142</v>
      </c>
      <c r="C829" s="74">
        <v>10</v>
      </c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75"/>
    </row>
    <row r="830" spans="1:16" ht="15.75" x14ac:dyDescent="0.25">
      <c r="A830" s="65"/>
      <c r="B830" s="76" t="s">
        <v>146</v>
      </c>
      <c r="C830" s="74">
        <v>2.5</v>
      </c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75"/>
    </row>
    <row r="831" spans="1:16" ht="15.75" x14ac:dyDescent="0.25">
      <c r="A831" s="65"/>
      <c r="B831" s="76" t="s">
        <v>189</v>
      </c>
      <c r="C831" s="74">
        <v>0.22</v>
      </c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75"/>
    </row>
    <row r="832" spans="1:16" ht="15.75" x14ac:dyDescent="0.25">
      <c r="A832" s="65"/>
      <c r="B832" s="76" t="s">
        <v>159</v>
      </c>
      <c r="C832" s="74">
        <v>7.7</v>
      </c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75"/>
    </row>
    <row r="833" spans="1:15" ht="15.75" x14ac:dyDescent="0.25">
      <c r="A833" s="65"/>
      <c r="B833" s="76" t="s">
        <v>131</v>
      </c>
      <c r="C833" s="74">
        <v>0.88</v>
      </c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75"/>
    </row>
    <row r="834" spans="1:15" ht="15.75" x14ac:dyDescent="0.25">
      <c r="A834" s="65"/>
      <c r="B834" s="76" t="s">
        <v>185</v>
      </c>
      <c r="C834" s="74">
        <v>2.2000000000000002</v>
      </c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75"/>
    </row>
    <row r="835" spans="1:15" s="11" customFormat="1" ht="15.75" x14ac:dyDescent="0.25">
      <c r="A835" s="65">
        <v>366</v>
      </c>
      <c r="B835" s="73" t="s">
        <v>336</v>
      </c>
      <c r="C835" s="74" t="s">
        <v>137</v>
      </c>
      <c r="D835" s="66">
        <f>18.17/80*100</f>
        <v>22.712500000000002</v>
      </c>
      <c r="E835" s="66">
        <f>13.6/80*100</f>
        <v>17</v>
      </c>
      <c r="F835" s="66">
        <f>0.22/80*100</f>
        <v>0.27499999999999997</v>
      </c>
      <c r="G835" s="66">
        <f>196.57/80*100</f>
        <v>245.71250000000001</v>
      </c>
      <c r="H835" s="66">
        <f>0.03/80*100</f>
        <v>3.7499999999999999E-2</v>
      </c>
      <c r="I835" s="66">
        <f>1.02/80*100</f>
        <v>1.2750000000000001</v>
      </c>
      <c r="J835" s="66">
        <f>78.4/80*100</f>
        <v>98.000000000000014</v>
      </c>
      <c r="K835" s="66">
        <f>0.57/80*100</f>
        <v>0.71249999999999991</v>
      </c>
      <c r="L835" s="66">
        <f>21.4/80*100</f>
        <v>26.749999999999996</v>
      </c>
      <c r="M835" s="66">
        <f>125.6/80*100</f>
        <v>156.99999999999997</v>
      </c>
      <c r="N835" s="66">
        <f>14.9/80*100</f>
        <v>18.625</v>
      </c>
      <c r="O835" s="75">
        <f>1.3/80*100</f>
        <v>1.625</v>
      </c>
    </row>
    <row r="836" spans="1:15" s="11" customFormat="1" ht="31.5" x14ac:dyDescent="0.25">
      <c r="A836" s="65"/>
      <c r="B836" s="69" t="s">
        <v>345</v>
      </c>
      <c r="C836" s="74">
        <f>80/80*100</f>
        <v>100</v>
      </c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75"/>
    </row>
    <row r="837" spans="1:15" ht="15.75" x14ac:dyDescent="0.25">
      <c r="A837" s="65"/>
      <c r="B837" s="76" t="s">
        <v>141</v>
      </c>
      <c r="C837" s="74">
        <v>3.56</v>
      </c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75"/>
    </row>
    <row r="838" spans="1:15" ht="15.75" x14ac:dyDescent="0.25">
      <c r="A838" s="65"/>
      <c r="B838" s="76" t="s">
        <v>20</v>
      </c>
      <c r="C838" s="74">
        <f>0.28/80*100</f>
        <v>0.35000000000000003</v>
      </c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75"/>
    </row>
    <row r="839" spans="1:15" s="11" customFormat="1" ht="15.75" x14ac:dyDescent="0.25">
      <c r="A839" s="65">
        <v>380</v>
      </c>
      <c r="B839" s="73" t="s">
        <v>110</v>
      </c>
      <c r="C839" s="74">
        <v>180</v>
      </c>
      <c r="D839" s="66">
        <v>3.96</v>
      </c>
      <c r="E839" s="66">
        <v>6.12</v>
      </c>
      <c r="F839" s="66">
        <v>14.58</v>
      </c>
      <c r="G839" s="66">
        <v>129.6</v>
      </c>
      <c r="H839" s="66">
        <v>0.05</v>
      </c>
      <c r="I839" s="66">
        <v>25.56</v>
      </c>
      <c r="J839" s="66">
        <v>30.78</v>
      </c>
      <c r="K839" s="66">
        <v>0.54</v>
      </c>
      <c r="L839" s="66">
        <v>108.18</v>
      </c>
      <c r="M839" s="66">
        <v>79.739999999999995</v>
      </c>
      <c r="N839" s="66">
        <v>41.22</v>
      </c>
      <c r="O839" s="75">
        <v>1.58</v>
      </c>
    </row>
    <row r="840" spans="1:15" ht="15.75" x14ac:dyDescent="0.25">
      <c r="A840" s="65"/>
      <c r="B840" s="76" t="s">
        <v>139</v>
      </c>
      <c r="C840" s="74">
        <v>14.4</v>
      </c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75"/>
    </row>
    <row r="841" spans="1:15" ht="15.75" x14ac:dyDescent="0.25">
      <c r="A841" s="65"/>
      <c r="B841" s="76" t="s">
        <v>130</v>
      </c>
      <c r="C841" s="74">
        <v>5.4</v>
      </c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75"/>
    </row>
    <row r="842" spans="1:15" ht="15.75" x14ac:dyDescent="0.25">
      <c r="A842" s="65"/>
      <c r="B842" s="76" t="s">
        <v>159</v>
      </c>
      <c r="C842" s="74">
        <v>2.16</v>
      </c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75"/>
    </row>
    <row r="843" spans="1:15" ht="15.75" x14ac:dyDescent="0.25">
      <c r="A843" s="65"/>
      <c r="B843" s="76" t="s">
        <v>141</v>
      </c>
      <c r="C843" s="74">
        <v>10.62</v>
      </c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75"/>
    </row>
    <row r="844" spans="1:15" ht="15.75" x14ac:dyDescent="0.25">
      <c r="A844" s="65"/>
      <c r="B844" s="76" t="s">
        <v>142</v>
      </c>
      <c r="C844" s="74">
        <v>7.02</v>
      </c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75"/>
    </row>
    <row r="845" spans="1:15" ht="15.75" x14ac:dyDescent="0.25">
      <c r="A845" s="65"/>
      <c r="B845" s="76" t="s">
        <v>143</v>
      </c>
      <c r="C845" s="74">
        <v>189</v>
      </c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75"/>
    </row>
    <row r="846" spans="1:15" ht="15.75" x14ac:dyDescent="0.25">
      <c r="A846" s="65"/>
      <c r="B846" s="76" t="s">
        <v>201</v>
      </c>
      <c r="C846" s="74">
        <v>3.78</v>
      </c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75"/>
    </row>
    <row r="847" spans="1:15" ht="15.75" x14ac:dyDescent="0.25">
      <c r="A847" s="65"/>
      <c r="B847" s="76" t="s">
        <v>131</v>
      </c>
      <c r="C847" s="74">
        <v>8.1</v>
      </c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75"/>
    </row>
    <row r="848" spans="1:15" s="11" customFormat="1" ht="31.5" x14ac:dyDescent="0.25">
      <c r="A848" s="65">
        <v>490</v>
      </c>
      <c r="B848" s="73" t="s">
        <v>54</v>
      </c>
      <c r="C848" s="74" t="s">
        <v>135</v>
      </c>
      <c r="D848" s="66">
        <v>0.3</v>
      </c>
      <c r="E848" s="66">
        <v>0.1</v>
      </c>
      <c r="F848" s="66">
        <v>11.3</v>
      </c>
      <c r="G848" s="66">
        <v>48</v>
      </c>
      <c r="H848" s="66">
        <v>0.01</v>
      </c>
      <c r="I848" s="66">
        <v>21.7</v>
      </c>
      <c r="J848" s="66">
        <v>0</v>
      </c>
      <c r="K848" s="66">
        <v>0.2</v>
      </c>
      <c r="L848" s="66">
        <v>10.8</v>
      </c>
      <c r="M848" s="66">
        <v>9.1999999999999993</v>
      </c>
      <c r="N848" s="66">
        <v>8.9</v>
      </c>
      <c r="O848" s="75">
        <v>0.41</v>
      </c>
    </row>
    <row r="849" spans="1:16" ht="15.75" x14ac:dyDescent="0.25">
      <c r="A849" s="65"/>
      <c r="B849" s="76" t="s">
        <v>130</v>
      </c>
      <c r="C849" s="74">
        <v>10</v>
      </c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75"/>
    </row>
    <row r="850" spans="1:16" ht="15.75" x14ac:dyDescent="0.25">
      <c r="A850" s="65"/>
      <c r="B850" s="76" t="s">
        <v>327</v>
      </c>
      <c r="C850" s="74">
        <v>30</v>
      </c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75"/>
    </row>
    <row r="851" spans="1:16" s="11" customFormat="1" ht="15.75" x14ac:dyDescent="0.25">
      <c r="A851" s="65"/>
      <c r="B851" s="73" t="s">
        <v>51</v>
      </c>
      <c r="C851" s="74">
        <v>40</v>
      </c>
      <c r="D851" s="66">
        <v>3.8</v>
      </c>
      <c r="E851" s="66">
        <v>0.4</v>
      </c>
      <c r="F851" s="66">
        <v>24.6</v>
      </c>
      <c r="G851" s="66">
        <v>117.5</v>
      </c>
      <c r="H851" s="66">
        <v>5.5E-2</v>
      </c>
      <c r="I851" s="66">
        <v>0</v>
      </c>
      <c r="J851" s="66">
        <v>0</v>
      </c>
      <c r="K851" s="66">
        <v>0.55000000000000004</v>
      </c>
      <c r="L851" s="66">
        <v>10</v>
      </c>
      <c r="M851" s="66">
        <v>32.5</v>
      </c>
      <c r="N851" s="66">
        <v>7</v>
      </c>
      <c r="O851" s="75">
        <v>0.55000000000000004</v>
      </c>
    </row>
    <row r="852" spans="1:16" s="11" customFormat="1" ht="15.75" x14ac:dyDescent="0.25">
      <c r="A852" s="65"/>
      <c r="B852" s="73" t="s">
        <v>32</v>
      </c>
      <c r="C852" s="74">
        <v>40</v>
      </c>
      <c r="D852" s="66">
        <v>3.3</v>
      </c>
      <c r="E852" s="66">
        <v>0.6</v>
      </c>
      <c r="F852" s="66">
        <v>16.7</v>
      </c>
      <c r="G852" s="66">
        <v>87</v>
      </c>
      <c r="H852" s="66">
        <v>0.09</v>
      </c>
      <c r="I852" s="66">
        <v>0</v>
      </c>
      <c r="J852" s="66">
        <v>0</v>
      </c>
      <c r="K852" s="66">
        <v>0.7</v>
      </c>
      <c r="L852" s="66">
        <v>17.5</v>
      </c>
      <c r="M852" s="66">
        <v>79</v>
      </c>
      <c r="N852" s="66">
        <v>23.5</v>
      </c>
      <c r="O852" s="75">
        <v>1.95</v>
      </c>
      <c r="P852" s="6"/>
    </row>
    <row r="853" spans="1:16" s="10" customFormat="1" ht="15.75" x14ac:dyDescent="0.25">
      <c r="A853" s="26"/>
      <c r="B853" s="73" t="s">
        <v>349</v>
      </c>
      <c r="C853" s="71"/>
      <c r="D853" s="72">
        <f>D854+D855</f>
        <v>11.4</v>
      </c>
      <c r="E853" s="72">
        <f t="shared" ref="E853:O853" si="43">E854+E855</f>
        <v>8.3000000000000007</v>
      </c>
      <c r="F853" s="72">
        <f t="shared" si="43"/>
        <v>52.9</v>
      </c>
      <c r="G853" s="72">
        <f t="shared" si="43"/>
        <v>338</v>
      </c>
      <c r="H853" s="72">
        <f t="shared" si="43"/>
        <v>0.152</v>
      </c>
      <c r="I853" s="72">
        <f t="shared" si="43"/>
        <v>1.4</v>
      </c>
      <c r="J853" s="72">
        <f t="shared" si="43"/>
        <v>4.8000000000000001E-2</v>
      </c>
      <c r="K853" s="72">
        <f t="shared" si="43"/>
        <v>0.70199999999999996</v>
      </c>
      <c r="L853" s="72">
        <f t="shared" si="43"/>
        <v>262.99799999999999</v>
      </c>
      <c r="M853" s="72">
        <f t="shared" si="43"/>
        <v>57</v>
      </c>
      <c r="N853" s="72">
        <f t="shared" si="43"/>
        <v>7.9980000000000002</v>
      </c>
      <c r="O853" s="72">
        <f t="shared" si="43"/>
        <v>0.90199999999999991</v>
      </c>
      <c r="P853" s="6"/>
    </row>
    <row r="854" spans="1:16" s="11" customFormat="1" ht="15.75" x14ac:dyDescent="0.25">
      <c r="A854" s="65"/>
      <c r="B854" s="73" t="s">
        <v>284</v>
      </c>
      <c r="C854" s="74">
        <v>100</v>
      </c>
      <c r="D854" s="66">
        <v>5.4</v>
      </c>
      <c r="E854" s="66">
        <v>6.3</v>
      </c>
      <c r="F854" s="66">
        <v>44.9</v>
      </c>
      <c r="G854" s="66">
        <v>258</v>
      </c>
      <c r="H854" s="66">
        <v>7.1999999999999995E-2</v>
      </c>
      <c r="I854" s="66">
        <v>0</v>
      </c>
      <c r="J854" s="66">
        <v>4.8000000000000001E-2</v>
      </c>
      <c r="K854" s="66">
        <v>0.70199999999999996</v>
      </c>
      <c r="L854" s="66">
        <v>22.998000000000001</v>
      </c>
      <c r="M854" s="66">
        <v>57</v>
      </c>
      <c r="N854" s="66">
        <v>7.9980000000000002</v>
      </c>
      <c r="O854" s="75">
        <v>0.70199999999999996</v>
      </c>
    </row>
    <row r="855" spans="1:16" ht="16.5" thickBot="1" x14ac:dyDescent="0.3">
      <c r="A855" s="82">
        <v>516</v>
      </c>
      <c r="B855" s="86" t="s">
        <v>55</v>
      </c>
      <c r="C855" s="83">
        <v>200</v>
      </c>
      <c r="D855" s="84">
        <v>6</v>
      </c>
      <c r="E855" s="84">
        <v>2</v>
      </c>
      <c r="F855" s="84">
        <v>8</v>
      </c>
      <c r="G855" s="84">
        <v>80</v>
      </c>
      <c r="H855" s="84">
        <v>0.08</v>
      </c>
      <c r="I855" s="84">
        <v>1.4</v>
      </c>
      <c r="J855" s="84">
        <v>0</v>
      </c>
      <c r="K855" s="84">
        <v>0</v>
      </c>
      <c r="L855" s="84">
        <v>240</v>
      </c>
      <c r="M855" s="84">
        <v>0</v>
      </c>
      <c r="N855" s="84">
        <v>0</v>
      </c>
      <c r="O855" s="85">
        <v>0.2</v>
      </c>
    </row>
    <row r="856" spans="1:16" s="14" customFormat="1" ht="16.5" thickBot="1" x14ac:dyDescent="0.3">
      <c r="A856" s="12"/>
      <c r="B856" s="77" t="s">
        <v>29</v>
      </c>
      <c r="C856" s="78"/>
      <c r="D856" s="79">
        <f t="shared" ref="D856:O856" si="44">D775+D788+D820+D853</f>
        <v>105.17250000000001</v>
      </c>
      <c r="E856" s="79">
        <f t="shared" si="44"/>
        <v>81.704999999999998</v>
      </c>
      <c r="F856" s="79">
        <f t="shared" si="44"/>
        <v>352.85499999999996</v>
      </c>
      <c r="G856" s="79">
        <f t="shared" si="44"/>
        <v>2322.3725000000004</v>
      </c>
      <c r="H856" s="79">
        <f t="shared" si="44"/>
        <v>1.3120000000000001</v>
      </c>
      <c r="I856" s="79">
        <f t="shared" si="44"/>
        <v>112.77500000000001</v>
      </c>
      <c r="J856" s="79">
        <f t="shared" si="44"/>
        <v>707.30799999999999</v>
      </c>
      <c r="K856" s="79">
        <f t="shared" si="44"/>
        <v>18.2575</v>
      </c>
      <c r="L856" s="79">
        <f t="shared" si="44"/>
        <v>1089.548</v>
      </c>
      <c r="M856" s="79">
        <f t="shared" si="44"/>
        <v>1491.895</v>
      </c>
      <c r="N856" s="79">
        <f t="shared" si="44"/>
        <v>367.62799999999999</v>
      </c>
      <c r="O856" s="79">
        <f t="shared" si="44"/>
        <v>23.114000000000004</v>
      </c>
      <c r="P856" s="13"/>
    </row>
    <row r="857" spans="1:16" s="1" customFormat="1" x14ac:dyDescent="0.25">
      <c r="A857" s="15"/>
      <c r="B857" s="16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1:16" s="1" customFormat="1" ht="18.75" x14ac:dyDescent="0.25">
      <c r="A858" s="2"/>
      <c r="B858" s="3" t="s">
        <v>223</v>
      </c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1:16" x14ac:dyDescent="0.2">
      <c r="A859" s="101"/>
      <c r="B859" s="102" t="s">
        <v>116</v>
      </c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1:16" ht="15.75" thickBot="1" x14ac:dyDescent="0.25">
      <c r="A860" s="101"/>
      <c r="B860" s="102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1:16" s="8" customFormat="1" ht="16.5" thickBot="1" x14ac:dyDescent="0.3">
      <c r="A861" s="103" t="s">
        <v>5</v>
      </c>
      <c r="B861" s="104" t="s">
        <v>117</v>
      </c>
      <c r="C861" s="105" t="s">
        <v>118</v>
      </c>
      <c r="D861" s="106" t="s">
        <v>3</v>
      </c>
      <c r="E861" s="106"/>
      <c r="F861" s="106"/>
      <c r="G861" s="106" t="s">
        <v>119</v>
      </c>
      <c r="H861" s="106" t="s">
        <v>1</v>
      </c>
      <c r="I861" s="106"/>
      <c r="J861" s="106"/>
      <c r="K861" s="106"/>
      <c r="L861" s="108" t="s">
        <v>2</v>
      </c>
      <c r="M861" s="108"/>
      <c r="N861" s="108"/>
      <c r="O861" s="108"/>
      <c r="P861" s="7"/>
    </row>
    <row r="862" spans="1:16" s="9" customFormat="1" ht="31.5" x14ac:dyDescent="0.25">
      <c r="A862" s="103"/>
      <c r="B862" s="104"/>
      <c r="C862" s="105"/>
      <c r="D862" s="63" t="s">
        <v>120</v>
      </c>
      <c r="E862" s="63" t="s">
        <v>121</v>
      </c>
      <c r="F862" s="63" t="s">
        <v>122</v>
      </c>
      <c r="G862" s="106"/>
      <c r="H862" s="63" t="s">
        <v>123</v>
      </c>
      <c r="I862" s="63" t="s">
        <v>124</v>
      </c>
      <c r="J862" s="63" t="s">
        <v>125</v>
      </c>
      <c r="K862" s="63" t="s">
        <v>126</v>
      </c>
      <c r="L862" s="63" t="s">
        <v>127</v>
      </c>
      <c r="M862" s="63" t="s">
        <v>128</v>
      </c>
      <c r="N862" s="63" t="s">
        <v>0</v>
      </c>
      <c r="O862" s="64" t="s">
        <v>4</v>
      </c>
      <c r="P862" s="1"/>
    </row>
    <row r="863" spans="1:16" s="10" customFormat="1" ht="15.75" x14ac:dyDescent="0.25">
      <c r="A863" s="26"/>
      <c r="B863" s="73" t="s">
        <v>369</v>
      </c>
      <c r="C863" s="71"/>
      <c r="D863" s="72">
        <f>D864+D866+D873+D877+D878</f>
        <v>34.538095238095238</v>
      </c>
      <c r="E863" s="72">
        <f t="shared" ref="E863:O863" si="45">E864+E866+E873+E877+E878</f>
        <v>38.333333333333336</v>
      </c>
      <c r="F863" s="72">
        <f t="shared" si="45"/>
        <v>91.000000000000014</v>
      </c>
      <c r="G863" s="72">
        <f t="shared" si="45"/>
        <v>849.21428571428498</v>
      </c>
      <c r="H863" s="72">
        <f t="shared" si="45"/>
        <v>0.23642857142857143</v>
      </c>
      <c r="I863" s="72">
        <f t="shared" si="45"/>
        <v>9.4285714285714288</v>
      </c>
      <c r="J863" s="72">
        <f t="shared" si="45"/>
        <v>98.095238095238102</v>
      </c>
      <c r="K863" s="72">
        <f t="shared" si="45"/>
        <v>11.036666666666665</v>
      </c>
      <c r="L863" s="72">
        <f t="shared" si="45"/>
        <v>110.56666666666666</v>
      </c>
      <c r="M863" s="72">
        <f t="shared" si="45"/>
        <v>295.33809523809521</v>
      </c>
      <c r="N863" s="72">
        <f t="shared" si="45"/>
        <v>95.023809523809518</v>
      </c>
      <c r="O863" s="72">
        <f t="shared" si="45"/>
        <v>5.8914285714285715</v>
      </c>
      <c r="P863" s="6"/>
    </row>
    <row r="864" spans="1:16" s="11" customFormat="1" ht="47.25" x14ac:dyDescent="0.25">
      <c r="A864" s="65">
        <v>150</v>
      </c>
      <c r="B864" s="73" t="s">
        <v>224</v>
      </c>
      <c r="C864" s="74">
        <v>40</v>
      </c>
      <c r="D864" s="66">
        <v>1.9</v>
      </c>
      <c r="E864" s="66">
        <v>8.9</v>
      </c>
      <c r="F864" s="66">
        <v>7.7</v>
      </c>
      <c r="G864" s="66">
        <v>119</v>
      </c>
      <c r="H864" s="66">
        <v>0.02</v>
      </c>
      <c r="I864" s="66">
        <v>7</v>
      </c>
      <c r="J864" s="66">
        <v>0</v>
      </c>
      <c r="K864" s="66">
        <v>3.1</v>
      </c>
      <c r="L864" s="66">
        <v>41</v>
      </c>
      <c r="M864" s="66">
        <v>37</v>
      </c>
      <c r="N864" s="66">
        <v>15</v>
      </c>
      <c r="O864" s="75">
        <v>0.7</v>
      </c>
    </row>
    <row r="865" spans="1:16" ht="15.75" x14ac:dyDescent="0.25">
      <c r="A865" s="65"/>
      <c r="B865" s="76" t="s">
        <v>225</v>
      </c>
      <c r="C865" s="74">
        <v>40</v>
      </c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75"/>
    </row>
    <row r="866" spans="1:16" s="11" customFormat="1" ht="15.75" x14ac:dyDescent="0.25">
      <c r="A866" s="65">
        <v>375</v>
      </c>
      <c r="B866" s="73" t="s">
        <v>111</v>
      </c>
      <c r="C866" s="74">
        <v>250</v>
      </c>
      <c r="D866" s="66">
        <f>21.2/210*250</f>
        <v>25.238095238095237</v>
      </c>
      <c r="E866" s="66">
        <f>23.8/210*250</f>
        <v>28.333333333333336</v>
      </c>
      <c r="F866" s="66">
        <f>27.3/210*250</f>
        <v>32.5</v>
      </c>
      <c r="G866" s="66">
        <f>1.94285714285714*250</f>
        <v>485.71428571428498</v>
      </c>
      <c r="H866" s="66">
        <f>0.06/210*250</f>
        <v>7.1428571428571425E-2</v>
      </c>
      <c r="I866" s="66">
        <f>1.2/210*250</f>
        <v>1.4285714285714286</v>
      </c>
      <c r="J866" s="66">
        <f>82.4/210*250</f>
        <v>98.095238095238102</v>
      </c>
      <c r="K866" s="66">
        <f>5.6/210*250</f>
        <v>6.6666666666666661</v>
      </c>
      <c r="L866" s="66">
        <f>28.7/210*250</f>
        <v>34.166666666666664</v>
      </c>
      <c r="M866" s="66">
        <f>115.7/210*250</f>
        <v>137.73809523809524</v>
      </c>
      <c r="N866" s="66">
        <f>37.4/210*250</f>
        <v>44.523809523809518</v>
      </c>
      <c r="O866" s="75">
        <f>1.53/210*250</f>
        <v>1.8214285714285714</v>
      </c>
    </row>
    <row r="867" spans="1:16" ht="15.75" x14ac:dyDescent="0.25">
      <c r="A867" s="65"/>
      <c r="B867" s="76" t="s">
        <v>149</v>
      </c>
      <c r="C867" s="74">
        <v>57.73</v>
      </c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75"/>
    </row>
    <row r="868" spans="1:16" ht="15.75" x14ac:dyDescent="0.25">
      <c r="A868" s="65"/>
      <c r="B868" s="76" t="s">
        <v>279</v>
      </c>
      <c r="C868" s="74">
        <v>83.33</v>
      </c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75"/>
    </row>
    <row r="869" spans="1:16" ht="15.75" x14ac:dyDescent="0.25">
      <c r="A869" s="65"/>
      <c r="B869" s="76" t="s">
        <v>20</v>
      </c>
      <c r="C869" s="74">
        <v>1.07</v>
      </c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75"/>
    </row>
    <row r="870" spans="1:16" ht="15.75" x14ac:dyDescent="0.25">
      <c r="A870" s="65"/>
      <c r="B870" s="76" t="s">
        <v>141</v>
      </c>
      <c r="C870" s="74">
        <v>21.9</v>
      </c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75"/>
    </row>
    <row r="871" spans="1:16" ht="15.75" x14ac:dyDescent="0.25">
      <c r="A871" s="65"/>
      <c r="B871" s="76" t="s">
        <v>142</v>
      </c>
      <c r="C871" s="74">
        <v>12.9</v>
      </c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75"/>
    </row>
    <row r="872" spans="1:16" ht="15.75" x14ac:dyDescent="0.25">
      <c r="A872" s="65"/>
      <c r="B872" s="76" t="s">
        <v>146</v>
      </c>
      <c r="C872" s="74">
        <v>13.09</v>
      </c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75"/>
    </row>
    <row r="873" spans="1:16" s="11" customFormat="1" ht="15.75" x14ac:dyDescent="0.25">
      <c r="A873" s="65">
        <v>459</v>
      </c>
      <c r="B873" s="73" t="s">
        <v>112</v>
      </c>
      <c r="C873" s="74" t="s">
        <v>135</v>
      </c>
      <c r="D873" s="66">
        <v>0.3</v>
      </c>
      <c r="E873" s="66">
        <v>0.1</v>
      </c>
      <c r="F873" s="66">
        <v>9.5</v>
      </c>
      <c r="G873" s="66">
        <v>40</v>
      </c>
      <c r="H873" s="66">
        <v>0</v>
      </c>
      <c r="I873" s="66">
        <v>1</v>
      </c>
      <c r="J873" s="66">
        <v>0</v>
      </c>
      <c r="K873" s="66">
        <v>0.02</v>
      </c>
      <c r="L873" s="66">
        <v>7.9</v>
      </c>
      <c r="M873" s="66">
        <v>9.1</v>
      </c>
      <c r="N873" s="66">
        <v>5</v>
      </c>
      <c r="O873" s="75">
        <v>0.87</v>
      </c>
    </row>
    <row r="874" spans="1:16" ht="15.75" x14ac:dyDescent="0.25">
      <c r="A874" s="65"/>
      <c r="B874" s="76" t="s">
        <v>156</v>
      </c>
      <c r="C874" s="74">
        <v>7.2</v>
      </c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75"/>
    </row>
    <row r="875" spans="1:16" ht="15.75" x14ac:dyDescent="0.25">
      <c r="A875" s="65"/>
      <c r="B875" s="76" t="s">
        <v>130</v>
      </c>
      <c r="C875" s="74">
        <v>10</v>
      </c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75"/>
    </row>
    <row r="876" spans="1:16" ht="15.75" x14ac:dyDescent="0.25">
      <c r="A876" s="65"/>
      <c r="B876" s="76" t="s">
        <v>169</v>
      </c>
      <c r="C876" s="74">
        <v>1</v>
      </c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75"/>
    </row>
    <row r="877" spans="1:16" s="11" customFormat="1" ht="15.75" x14ac:dyDescent="0.25">
      <c r="A877" s="65"/>
      <c r="B877" s="73" t="s">
        <v>51</v>
      </c>
      <c r="C877" s="74">
        <v>40</v>
      </c>
      <c r="D877" s="66">
        <v>3.8</v>
      </c>
      <c r="E877" s="66">
        <v>0.4</v>
      </c>
      <c r="F877" s="66">
        <v>24.6</v>
      </c>
      <c r="G877" s="66">
        <v>117.5</v>
      </c>
      <c r="H877" s="66">
        <v>5.5E-2</v>
      </c>
      <c r="I877" s="66">
        <v>0</v>
      </c>
      <c r="J877" s="66">
        <v>0</v>
      </c>
      <c r="K877" s="66">
        <v>0.55000000000000004</v>
      </c>
      <c r="L877" s="66">
        <v>10</v>
      </c>
      <c r="M877" s="66">
        <v>32.5</v>
      </c>
      <c r="N877" s="66">
        <v>7</v>
      </c>
      <c r="O877" s="75">
        <v>0.55000000000000004</v>
      </c>
    </row>
    <row r="878" spans="1:16" s="11" customFormat="1" ht="15.75" x14ac:dyDescent="0.25">
      <c r="A878" s="65"/>
      <c r="B878" s="73" t="s">
        <v>32</v>
      </c>
      <c r="C878" s="74">
        <v>40</v>
      </c>
      <c r="D878" s="66">
        <v>3.3</v>
      </c>
      <c r="E878" s="66">
        <v>0.6</v>
      </c>
      <c r="F878" s="66">
        <v>16.7</v>
      </c>
      <c r="G878" s="66">
        <v>87</v>
      </c>
      <c r="H878" s="66">
        <v>0.09</v>
      </c>
      <c r="I878" s="66">
        <v>0</v>
      </c>
      <c r="J878" s="66">
        <v>0</v>
      </c>
      <c r="K878" s="66">
        <v>0.7</v>
      </c>
      <c r="L878" s="66">
        <v>17.5</v>
      </c>
      <c r="M878" s="66">
        <v>79</v>
      </c>
      <c r="N878" s="66">
        <v>23.5</v>
      </c>
      <c r="O878" s="75">
        <v>1.95</v>
      </c>
    </row>
    <row r="879" spans="1:16" s="11" customFormat="1" ht="15.75" x14ac:dyDescent="0.25">
      <c r="A879" s="65"/>
      <c r="B879" s="73" t="s">
        <v>357</v>
      </c>
      <c r="C879" s="74">
        <v>100</v>
      </c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98"/>
    </row>
    <row r="880" spans="1:16" s="10" customFormat="1" ht="15.75" x14ac:dyDescent="0.25">
      <c r="A880" s="26"/>
      <c r="B880" s="73" t="s">
        <v>380</v>
      </c>
      <c r="C880" s="71"/>
      <c r="D880" s="72">
        <f>D881+D883+D892+D898+D907+D903+D908</f>
        <v>46.499999999999993</v>
      </c>
      <c r="E880" s="72">
        <f t="shared" ref="E880:O880" si="46">E881+E883+E892+E898+E907+E903+E908</f>
        <v>24.1</v>
      </c>
      <c r="F880" s="72">
        <f t="shared" si="46"/>
        <v>118.07000000000001</v>
      </c>
      <c r="G880" s="72">
        <f t="shared" si="46"/>
        <v>879.91250000000002</v>
      </c>
      <c r="H880" s="72">
        <f t="shared" si="46"/>
        <v>0.82500000000000007</v>
      </c>
      <c r="I880" s="72">
        <f t="shared" si="46"/>
        <v>43.682499999999997</v>
      </c>
      <c r="J880" s="72">
        <f t="shared" si="46"/>
        <v>21.262499999999996</v>
      </c>
      <c r="K880" s="72">
        <f t="shared" si="46"/>
        <v>6.35</v>
      </c>
      <c r="L880" s="72">
        <f t="shared" si="46"/>
        <v>231.41250000000002</v>
      </c>
      <c r="M880" s="72">
        <f t="shared" si="46"/>
        <v>590.95000000000005</v>
      </c>
      <c r="N880" s="72">
        <f t="shared" si="46"/>
        <v>187.08250000000001</v>
      </c>
      <c r="O880" s="72">
        <f t="shared" si="46"/>
        <v>14.1225</v>
      </c>
      <c r="P880" s="6"/>
    </row>
    <row r="881" spans="1:15" s="11" customFormat="1" ht="15.75" x14ac:dyDescent="0.25">
      <c r="A881" s="65">
        <v>148</v>
      </c>
      <c r="B881" s="73" t="s">
        <v>287</v>
      </c>
      <c r="C881" s="74" t="s">
        <v>137</v>
      </c>
      <c r="D881" s="66">
        <v>1.1000000000000001</v>
      </c>
      <c r="E881" s="66">
        <v>0.2</v>
      </c>
      <c r="F881" s="66">
        <v>3.8</v>
      </c>
      <c r="G881" s="66">
        <v>24</v>
      </c>
      <c r="H881" s="66">
        <v>0.06</v>
      </c>
      <c r="I881" s="66">
        <v>25</v>
      </c>
      <c r="J881" s="66">
        <v>0</v>
      </c>
      <c r="K881" s="66">
        <v>0.7</v>
      </c>
      <c r="L881" s="66">
        <v>14</v>
      </c>
      <c r="M881" s="66">
        <v>26</v>
      </c>
      <c r="N881" s="66">
        <v>20</v>
      </c>
      <c r="O881" s="75">
        <v>0.9</v>
      </c>
    </row>
    <row r="882" spans="1:15" ht="15.75" x14ac:dyDescent="0.25">
      <c r="A882" s="65"/>
      <c r="B882" s="76" t="s">
        <v>198</v>
      </c>
      <c r="C882" s="74">
        <v>100</v>
      </c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75"/>
    </row>
    <row r="883" spans="1:15" s="11" customFormat="1" ht="15.75" x14ac:dyDescent="0.25">
      <c r="A883" s="65">
        <v>98</v>
      </c>
      <c r="B883" s="73" t="s">
        <v>85</v>
      </c>
      <c r="C883" s="74">
        <v>250</v>
      </c>
      <c r="D883" s="66">
        <v>2.0499999999999998</v>
      </c>
      <c r="E883" s="66">
        <v>4.75</v>
      </c>
      <c r="F883" s="66">
        <v>10.72</v>
      </c>
      <c r="G883" s="66">
        <v>93.75</v>
      </c>
      <c r="H883" s="66">
        <v>0.06</v>
      </c>
      <c r="I883" s="66">
        <v>8.1199999999999992</v>
      </c>
      <c r="J883" s="66">
        <v>0</v>
      </c>
      <c r="K883" s="66">
        <v>2.4</v>
      </c>
      <c r="L883" s="66">
        <v>40.9</v>
      </c>
      <c r="M883" s="66">
        <v>66.099999999999994</v>
      </c>
      <c r="N883" s="66">
        <v>30.02</v>
      </c>
      <c r="O883" s="75">
        <v>1.53</v>
      </c>
    </row>
    <row r="884" spans="1:15" ht="15.75" x14ac:dyDescent="0.25">
      <c r="A884" s="65"/>
      <c r="B884" s="76" t="s">
        <v>138</v>
      </c>
      <c r="C884" s="74">
        <v>64</v>
      </c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75"/>
    </row>
    <row r="885" spans="1:15" ht="15.75" x14ac:dyDescent="0.25">
      <c r="A885" s="65"/>
      <c r="B885" s="76" t="s">
        <v>139</v>
      </c>
      <c r="C885" s="74">
        <v>3.25</v>
      </c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75"/>
    </row>
    <row r="886" spans="1:15" ht="15.75" x14ac:dyDescent="0.25">
      <c r="A886" s="65"/>
      <c r="B886" s="76" t="s">
        <v>130</v>
      </c>
      <c r="C886" s="74">
        <v>2.5</v>
      </c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75"/>
    </row>
    <row r="887" spans="1:15" ht="15.75" x14ac:dyDescent="0.25">
      <c r="A887" s="65"/>
      <c r="B887" s="76" t="s">
        <v>131</v>
      </c>
      <c r="C887" s="74">
        <v>5</v>
      </c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75"/>
    </row>
    <row r="888" spans="1:15" ht="15.75" x14ac:dyDescent="0.25">
      <c r="A888" s="65"/>
      <c r="B888" s="76" t="s">
        <v>140</v>
      </c>
      <c r="C888" s="74">
        <v>15</v>
      </c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75"/>
    </row>
    <row r="889" spans="1:15" ht="15.75" x14ac:dyDescent="0.25">
      <c r="A889" s="65"/>
      <c r="B889" s="76" t="s">
        <v>141</v>
      </c>
      <c r="C889" s="74">
        <v>11.32</v>
      </c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75"/>
    </row>
    <row r="890" spans="1:15" ht="15.75" x14ac:dyDescent="0.25">
      <c r="A890" s="65"/>
      <c r="B890" s="76" t="s">
        <v>142</v>
      </c>
      <c r="C890" s="74">
        <v>9.75</v>
      </c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75"/>
    </row>
    <row r="891" spans="1:15" ht="15.75" x14ac:dyDescent="0.25">
      <c r="A891" s="65"/>
      <c r="B891" s="76" t="s">
        <v>171</v>
      </c>
      <c r="C891" s="74">
        <v>43.12</v>
      </c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75"/>
    </row>
    <row r="892" spans="1:15" s="11" customFormat="1" ht="15.75" x14ac:dyDescent="0.25">
      <c r="A892" s="65">
        <v>339</v>
      </c>
      <c r="B892" s="73" t="s">
        <v>346</v>
      </c>
      <c r="C892" s="74" t="s">
        <v>137</v>
      </c>
      <c r="D892" s="66">
        <f>13.92/80*100</f>
        <v>17.399999999999999</v>
      </c>
      <c r="E892" s="66">
        <f>11.04/80*100</f>
        <v>13.799999999999999</v>
      </c>
      <c r="F892" s="66">
        <f>12.48/80*100</f>
        <v>15.6</v>
      </c>
      <c r="G892" s="66">
        <f>204.8/80*100</f>
        <v>256</v>
      </c>
      <c r="H892" s="66">
        <f>0.12/80*100</f>
        <v>0.15</v>
      </c>
      <c r="I892" s="66">
        <f>0.24/80*100</f>
        <v>0.3</v>
      </c>
      <c r="J892" s="66">
        <f>3.68/80*100</f>
        <v>4.5999999999999996</v>
      </c>
      <c r="K892" s="66">
        <f>1.12/80*100</f>
        <v>1.4000000000000001</v>
      </c>
      <c r="L892" s="66">
        <f>43.28/80*100</f>
        <v>54.1</v>
      </c>
      <c r="M892" s="66">
        <f>145.44/80*100</f>
        <v>181.8</v>
      </c>
      <c r="N892" s="66">
        <f>20.4/80*100</f>
        <v>25.5</v>
      </c>
      <c r="O892" s="75">
        <f>2.25/80*100</f>
        <v>2.8125</v>
      </c>
    </row>
    <row r="893" spans="1:15" ht="15.75" x14ac:dyDescent="0.25">
      <c r="A893" s="65"/>
      <c r="B893" s="76" t="s">
        <v>182</v>
      </c>
      <c r="C893" s="74">
        <f>8.8/80*100</f>
        <v>11.000000000000002</v>
      </c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75"/>
    </row>
    <row r="894" spans="1:15" ht="15.75" x14ac:dyDescent="0.25">
      <c r="A894" s="65"/>
      <c r="B894" s="76" t="s">
        <v>146</v>
      </c>
      <c r="C894" s="74">
        <f>1.6/80*100</f>
        <v>2</v>
      </c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75"/>
    </row>
    <row r="895" spans="1:15" ht="15.75" x14ac:dyDescent="0.25">
      <c r="A895" s="65"/>
      <c r="B895" s="76" t="s">
        <v>200</v>
      </c>
      <c r="C895" s="74">
        <f>65.6/80*100</f>
        <v>82</v>
      </c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75"/>
    </row>
    <row r="896" spans="1:15" ht="15.75" x14ac:dyDescent="0.25">
      <c r="A896" s="65"/>
      <c r="B896" s="76" t="s">
        <v>134</v>
      </c>
      <c r="C896" s="74">
        <f>18.4/80*100</f>
        <v>23</v>
      </c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75"/>
    </row>
    <row r="897" spans="1:16" ht="15.75" x14ac:dyDescent="0.25">
      <c r="A897" s="65"/>
      <c r="B897" s="76" t="s">
        <v>51</v>
      </c>
      <c r="C897" s="74">
        <f>15.2/80*100</f>
        <v>19</v>
      </c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75"/>
    </row>
    <row r="898" spans="1:16" s="11" customFormat="1" ht="31.5" x14ac:dyDescent="0.25">
      <c r="A898" s="65">
        <v>390</v>
      </c>
      <c r="B898" s="73" t="s">
        <v>113</v>
      </c>
      <c r="C898" s="74" t="s">
        <v>151</v>
      </c>
      <c r="D898" s="66">
        <f>0.1875*100</f>
        <v>18.75</v>
      </c>
      <c r="E898" s="66">
        <f>3.4/80*100</f>
        <v>4.25</v>
      </c>
      <c r="F898" s="66">
        <f>28.6/80*100</f>
        <v>35.750000000000007</v>
      </c>
      <c r="G898" s="66">
        <f>205.33/80*100</f>
        <v>256.66250000000002</v>
      </c>
      <c r="H898" s="66">
        <f>0.32/80*100</f>
        <v>0.4</v>
      </c>
      <c r="I898" s="66">
        <f>1.33/80*100</f>
        <v>1.6625000000000001</v>
      </c>
      <c r="J898" s="66">
        <f>13.33/80*100</f>
        <v>16.662499999999998</v>
      </c>
      <c r="K898" s="66">
        <f>0.4/80*100</f>
        <v>0.5</v>
      </c>
      <c r="L898" s="66">
        <f>71.53/80*100</f>
        <v>89.412500000000009</v>
      </c>
      <c r="M898" s="66">
        <f>2.0125*100</f>
        <v>201.25000000000003</v>
      </c>
      <c r="N898" s="66">
        <f>61.73/80*100</f>
        <v>77.162499999999994</v>
      </c>
      <c r="O898" s="75">
        <f>4.8/80*100</f>
        <v>6</v>
      </c>
    </row>
    <row r="899" spans="1:16" ht="15.75" x14ac:dyDescent="0.25">
      <c r="A899" s="65"/>
      <c r="B899" s="76" t="s">
        <v>141</v>
      </c>
      <c r="C899" s="74">
        <v>33.5</v>
      </c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75"/>
    </row>
    <row r="900" spans="1:16" ht="15.75" x14ac:dyDescent="0.25">
      <c r="A900" s="65"/>
      <c r="B900" s="76" t="s">
        <v>131</v>
      </c>
      <c r="C900" s="74">
        <v>4.16</v>
      </c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75"/>
    </row>
    <row r="901" spans="1:16" ht="15.75" x14ac:dyDescent="0.25">
      <c r="A901" s="65"/>
      <c r="B901" s="76" t="s">
        <v>189</v>
      </c>
      <c r="C901" s="74">
        <v>1.66</v>
      </c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75"/>
    </row>
    <row r="902" spans="1:16" ht="15.75" x14ac:dyDescent="0.25">
      <c r="A902" s="65"/>
      <c r="B902" s="76" t="s">
        <v>175</v>
      </c>
      <c r="C902" s="74">
        <v>83.66</v>
      </c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75"/>
    </row>
    <row r="903" spans="1:16" s="11" customFormat="1" ht="15.75" x14ac:dyDescent="0.25">
      <c r="A903" s="65">
        <v>492</v>
      </c>
      <c r="B903" s="73" t="s">
        <v>382</v>
      </c>
      <c r="C903" s="74" t="s">
        <v>135</v>
      </c>
      <c r="D903" s="66">
        <v>0.1</v>
      </c>
      <c r="E903" s="66">
        <v>0.1</v>
      </c>
      <c r="F903" s="66">
        <v>10.9</v>
      </c>
      <c r="G903" s="66">
        <v>45</v>
      </c>
      <c r="H903" s="66">
        <v>0.01</v>
      </c>
      <c r="I903" s="66">
        <v>8.6</v>
      </c>
      <c r="J903" s="66">
        <v>0</v>
      </c>
      <c r="K903" s="66">
        <v>0.1</v>
      </c>
      <c r="L903" s="66">
        <v>5.5</v>
      </c>
      <c r="M903" s="66">
        <v>4.3</v>
      </c>
      <c r="N903" s="66">
        <v>3.9</v>
      </c>
      <c r="O903" s="75">
        <v>0.38</v>
      </c>
    </row>
    <row r="904" spans="1:16" ht="15.75" x14ac:dyDescent="0.25">
      <c r="A904" s="65"/>
      <c r="B904" s="76" t="s">
        <v>361</v>
      </c>
      <c r="C904" s="74">
        <v>20</v>
      </c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75"/>
    </row>
    <row r="905" spans="1:16" ht="15.75" x14ac:dyDescent="0.25">
      <c r="A905" s="65"/>
      <c r="B905" s="76" t="s">
        <v>130</v>
      </c>
      <c r="C905" s="74">
        <v>10</v>
      </c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75"/>
    </row>
    <row r="906" spans="1:16" ht="15.75" x14ac:dyDescent="0.25">
      <c r="A906" s="65"/>
      <c r="B906" s="76" t="s">
        <v>147</v>
      </c>
      <c r="C906" s="74">
        <v>10</v>
      </c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75"/>
    </row>
    <row r="907" spans="1:16" s="11" customFormat="1" ht="15.75" x14ac:dyDescent="0.25">
      <c r="A907" s="65"/>
      <c r="B907" s="73" t="s">
        <v>51</v>
      </c>
      <c r="C907" s="74">
        <v>40</v>
      </c>
      <c r="D907" s="66">
        <v>3.8</v>
      </c>
      <c r="E907" s="66">
        <v>0.4</v>
      </c>
      <c r="F907" s="66">
        <v>24.6</v>
      </c>
      <c r="G907" s="66">
        <v>117.5</v>
      </c>
      <c r="H907" s="66">
        <v>5.5E-2</v>
      </c>
      <c r="I907" s="66">
        <v>0</v>
      </c>
      <c r="J907" s="66">
        <v>0</v>
      </c>
      <c r="K907" s="66">
        <v>0.55000000000000004</v>
      </c>
      <c r="L907" s="66">
        <v>10</v>
      </c>
      <c r="M907" s="66">
        <v>32.5</v>
      </c>
      <c r="N907" s="66">
        <v>7</v>
      </c>
      <c r="O907" s="75">
        <v>0.55000000000000004</v>
      </c>
    </row>
    <row r="908" spans="1:16" s="11" customFormat="1" ht="15.75" x14ac:dyDescent="0.25">
      <c r="A908" s="65"/>
      <c r="B908" s="73" t="s">
        <v>32</v>
      </c>
      <c r="C908" s="74">
        <v>40</v>
      </c>
      <c r="D908" s="66">
        <v>3.3</v>
      </c>
      <c r="E908" s="66">
        <v>0.6</v>
      </c>
      <c r="F908" s="66">
        <v>16.7</v>
      </c>
      <c r="G908" s="66">
        <v>87</v>
      </c>
      <c r="H908" s="66">
        <v>0.09</v>
      </c>
      <c r="I908" s="66">
        <v>0</v>
      </c>
      <c r="J908" s="66">
        <v>0</v>
      </c>
      <c r="K908" s="66">
        <v>0.7</v>
      </c>
      <c r="L908" s="66">
        <v>17.5</v>
      </c>
      <c r="M908" s="66">
        <v>79</v>
      </c>
      <c r="N908" s="66">
        <v>23.5</v>
      </c>
      <c r="O908" s="75">
        <v>1.95</v>
      </c>
    </row>
    <row r="909" spans="1:16" s="10" customFormat="1" ht="15.75" x14ac:dyDescent="0.25">
      <c r="A909" s="26"/>
      <c r="B909" s="73" t="s">
        <v>354</v>
      </c>
      <c r="C909" s="71"/>
      <c r="D909" s="72">
        <f t="shared" ref="D909:O909" si="47">D910+D914+D921+D928+D932+D935+D936</f>
        <v>33.39</v>
      </c>
      <c r="E909" s="72">
        <f t="shared" si="47"/>
        <v>24.78</v>
      </c>
      <c r="F909" s="72">
        <f t="shared" si="47"/>
        <v>115.71999999999998</v>
      </c>
      <c r="G909" s="72">
        <f t="shared" si="47"/>
        <v>821.95</v>
      </c>
      <c r="H909" s="72">
        <f t="shared" si="47"/>
        <v>0.65400000000000003</v>
      </c>
      <c r="I909" s="72">
        <f t="shared" si="47"/>
        <v>18.313000000000002</v>
      </c>
      <c r="J909" s="72">
        <f t="shared" si="47"/>
        <v>7.3199999999999994</v>
      </c>
      <c r="K909" s="72">
        <f t="shared" si="47"/>
        <v>6.6509999999999998</v>
      </c>
      <c r="L909" s="72">
        <f t="shared" si="47"/>
        <v>130.82999999999998</v>
      </c>
      <c r="M909" s="72">
        <f t="shared" si="47"/>
        <v>562.09</v>
      </c>
      <c r="N909" s="72">
        <f t="shared" si="47"/>
        <v>127.81</v>
      </c>
      <c r="O909" s="72">
        <f t="shared" si="47"/>
        <v>10.564</v>
      </c>
      <c r="P909" s="6"/>
    </row>
    <row r="910" spans="1:16" s="10" customFormat="1" ht="15.75" x14ac:dyDescent="0.25">
      <c r="A910" s="26"/>
      <c r="B910" s="73" t="s">
        <v>315</v>
      </c>
      <c r="C910" s="74">
        <v>100</v>
      </c>
      <c r="D910" s="66">
        <v>1.2</v>
      </c>
      <c r="E910" s="66">
        <v>6.1</v>
      </c>
      <c r="F910" s="66">
        <v>11.2</v>
      </c>
      <c r="G910" s="66">
        <v>104</v>
      </c>
      <c r="H910" s="66">
        <v>0.05</v>
      </c>
      <c r="I910" s="66">
        <v>3.1</v>
      </c>
      <c r="J910" s="66">
        <v>0</v>
      </c>
      <c r="K910" s="66">
        <v>3.9</v>
      </c>
      <c r="L910" s="66">
        <v>24.4</v>
      </c>
      <c r="M910" s="66">
        <v>49.5</v>
      </c>
      <c r="N910" s="66">
        <v>34</v>
      </c>
      <c r="O910" s="98">
        <v>0.64</v>
      </c>
      <c r="P910" s="6"/>
    </row>
    <row r="911" spans="1:16" s="10" customFormat="1" ht="15.75" x14ac:dyDescent="0.25">
      <c r="A911" s="26"/>
      <c r="B911" s="100" t="s">
        <v>16</v>
      </c>
      <c r="C911" s="74">
        <v>89.7</v>
      </c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97"/>
      <c r="P911" s="6"/>
    </row>
    <row r="912" spans="1:16" s="10" customFormat="1" ht="15.75" x14ac:dyDescent="0.25">
      <c r="A912" s="26"/>
      <c r="B912" s="100" t="s">
        <v>130</v>
      </c>
      <c r="C912" s="74">
        <v>5</v>
      </c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97"/>
      <c r="P912" s="6"/>
    </row>
    <row r="913" spans="1:16" s="10" customFormat="1" ht="15.75" x14ac:dyDescent="0.25">
      <c r="A913" s="26"/>
      <c r="B913" s="100" t="s">
        <v>146</v>
      </c>
      <c r="C913" s="74">
        <v>6</v>
      </c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97"/>
      <c r="P913" s="6"/>
    </row>
    <row r="914" spans="1:16" s="11" customFormat="1" ht="15.75" x14ac:dyDescent="0.25">
      <c r="A914" s="65">
        <v>120</v>
      </c>
      <c r="B914" s="73" t="s">
        <v>114</v>
      </c>
      <c r="C914" s="74">
        <v>250</v>
      </c>
      <c r="D914" s="66">
        <v>2.2000000000000002</v>
      </c>
      <c r="E914" s="66">
        <v>2.95</v>
      </c>
      <c r="F914" s="66">
        <v>14.7</v>
      </c>
      <c r="G914" s="66">
        <v>94.25</v>
      </c>
      <c r="H914" s="66">
        <v>5.0000000000000001E-3</v>
      </c>
      <c r="I914" s="66">
        <v>0.443</v>
      </c>
      <c r="J914" s="66">
        <v>0</v>
      </c>
      <c r="K914" s="66">
        <v>5.0999999999999997E-2</v>
      </c>
      <c r="L914" s="66">
        <v>0.65</v>
      </c>
      <c r="M914" s="66">
        <v>2.84</v>
      </c>
      <c r="N914" s="66">
        <v>1.17</v>
      </c>
      <c r="O914" s="75">
        <v>4.3999999999999997E-2</v>
      </c>
    </row>
    <row r="915" spans="1:16" ht="15.75" x14ac:dyDescent="0.25">
      <c r="A915" s="65"/>
      <c r="B915" s="76" t="s">
        <v>171</v>
      </c>
      <c r="C915" s="74">
        <v>112.5</v>
      </c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75"/>
    </row>
    <row r="916" spans="1:16" ht="15.75" x14ac:dyDescent="0.25">
      <c r="A916" s="65"/>
      <c r="B916" s="76" t="s">
        <v>141</v>
      </c>
      <c r="C916" s="74">
        <v>10.5</v>
      </c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75"/>
    </row>
    <row r="917" spans="1:16" ht="15.75" x14ac:dyDescent="0.25">
      <c r="A917" s="65"/>
      <c r="B917" s="76" t="s">
        <v>142</v>
      </c>
      <c r="C917" s="74">
        <v>9.75</v>
      </c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75"/>
    </row>
    <row r="918" spans="1:16" ht="15.75" x14ac:dyDescent="0.25">
      <c r="A918" s="65"/>
      <c r="B918" s="76" t="s">
        <v>131</v>
      </c>
      <c r="C918" s="74">
        <v>5</v>
      </c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75"/>
    </row>
    <row r="919" spans="1:16" ht="31.5" x14ac:dyDescent="0.25">
      <c r="A919" s="65"/>
      <c r="B919" s="76" t="s">
        <v>133</v>
      </c>
      <c r="C919" s="74">
        <v>2</v>
      </c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75"/>
    </row>
    <row r="920" spans="1:16" ht="15.75" x14ac:dyDescent="0.25">
      <c r="A920" s="65"/>
      <c r="B920" s="76" t="s">
        <v>317</v>
      </c>
      <c r="C920" s="74">
        <v>54.55</v>
      </c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75"/>
    </row>
    <row r="921" spans="1:16" s="11" customFormat="1" ht="31.5" x14ac:dyDescent="0.25">
      <c r="A921" s="65">
        <v>356</v>
      </c>
      <c r="B921" s="73" t="s">
        <v>226</v>
      </c>
      <c r="C921" s="74" t="s">
        <v>227</v>
      </c>
      <c r="D921" s="66">
        <v>18.59</v>
      </c>
      <c r="E921" s="66">
        <v>5.83</v>
      </c>
      <c r="F921" s="66">
        <v>15.62</v>
      </c>
      <c r="G921" s="66">
        <v>189.2</v>
      </c>
      <c r="H921" s="66">
        <v>0.26400000000000001</v>
      </c>
      <c r="I921" s="66">
        <v>7.37</v>
      </c>
      <c r="J921" s="66">
        <v>7.26</v>
      </c>
      <c r="K921" s="66">
        <v>1.21</v>
      </c>
      <c r="L921" s="66">
        <v>22.88</v>
      </c>
      <c r="M921" s="66">
        <v>282.14999999999998</v>
      </c>
      <c r="N921" s="66">
        <v>22.44</v>
      </c>
      <c r="O921" s="75">
        <v>5.52</v>
      </c>
    </row>
    <row r="922" spans="1:16" ht="15.75" x14ac:dyDescent="0.25">
      <c r="A922" s="65"/>
      <c r="B922" s="76" t="s">
        <v>219</v>
      </c>
      <c r="C922" s="74">
        <v>102.3</v>
      </c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75"/>
    </row>
    <row r="923" spans="1:16" ht="15.75" x14ac:dyDescent="0.25">
      <c r="A923" s="65"/>
      <c r="B923" s="76" t="s">
        <v>146</v>
      </c>
      <c r="C923" s="74">
        <v>8.8000000000000007</v>
      </c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75"/>
    </row>
    <row r="924" spans="1:16" ht="15.75" x14ac:dyDescent="0.25">
      <c r="A924" s="65"/>
      <c r="B924" s="76" t="s">
        <v>140</v>
      </c>
      <c r="C924" s="74">
        <v>19.91</v>
      </c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75"/>
    </row>
    <row r="925" spans="1:16" ht="15.75" x14ac:dyDescent="0.25">
      <c r="A925" s="65"/>
      <c r="B925" s="76" t="s">
        <v>20</v>
      </c>
      <c r="C925" s="74">
        <v>0.77</v>
      </c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75"/>
    </row>
    <row r="926" spans="1:16" ht="15.75" x14ac:dyDescent="0.25">
      <c r="A926" s="65"/>
      <c r="B926" s="76" t="s">
        <v>159</v>
      </c>
      <c r="C926" s="74">
        <v>0.99</v>
      </c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75"/>
    </row>
    <row r="927" spans="1:16" ht="15.75" x14ac:dyDescent="0.25">
      <c r="A927" s="65"/>
      <c r="B927" s="76" t="s">
        <v>131</v>
      </c>
      <c r="C927" s="74">
        <v>0.99</v>
      </c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75"/>
    </row>
    <row r="928" spans="1:16" s="11" customFormat="1" ht="15.75" x14ac:dyDescent="0.25">
      <c r="A928" s="65">
        <v>377</v>
      </c>
      <c r="B928" s="73" t="s">
        <v>82</v>
      </c>
      <c r="C928" s="74">
        <v>180</v>
      </c>
      <c r="D928" s="66">
        <v>4.2</v>
      </c>
      <c r="E928" s="66">
        <v>8.8000000000000007</v>
      </c>
      <c r="F928" s="66">
        <v>21.8</v>
      </c>
      <c r="G928" s="66">
        <v>184</v>
      </c>
      <c r="H928" s="66">
        <v>0.18</v>
      </c>
      <c r="I928" s="66">
        <v>6.8</v>
      </c>
      <c r="J928" s="66">
        <v>0.06</v>
      </c>
      <c r="K928" s="66">
        <v>0.2</v>
      </c>
      <c r="L928" s="66">
        <v>52</v>
      </c>
      <c r="M928" s="66">
        <v>114</v>
      </c>
      <c r="N928" s="66">
        <v>38</v>
      </c>
      <c r="O928" s="75">
        <v>1.4</v>
      </c>
    </row>
    <row r="929" spans="1:16" ht="15.75" x14ac:dyDescent="0.25">
      <c r="A929" s="65"/>
      <c r="B929" s="76" t="s">
        <v>131</v>
      </c>
      <c r="C929" s="74">
        <v>9</v>
      </c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75"/>
    </row>
    <row r="930" spans="1:16" ht="15.75" x14ac:dyDescent="0.25">
      <c r="A930" s="65"/>
      <c r="B930" s="76" t="s">
        <v>171</v>
      </c>
      <c r="C930" s="74">
        <v>168</v>
      </c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75"/>
    </row>
    <row r="931" spans="1:16" ht="15.75" x14ac:dyDescent="0.25">
      <c r="A931" s="65"/>
      <c r="B931" s="76" t="s">
        <v>134</v>
      </c>
      <c r="C931" s="74">
        <v>30</v>
      </c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75"/>
    </row>
    <row r="932" spans="1:16" s="11" customFormat="1" ht="15.75" x14ac:dyDescent="0.25">
      <c r="A932" s="65">
        <v>486</v>
      </c>
      <c r="B932" s="73" t="s">
        <v>383</v>
      </c>
      <c r="C932" s="74" t="s">
        <v>135</v>
      </c>
      <c r="D932" s="66">
        <v>0.1</v>
      </c>
      <c r="E932" s="66">
        <v>0.1</v>
      </c>
      <c r="F932" s="66">
        <v>11.1</v>
      </c>
      <c r="G932" s="66">
        <v>46</v>
      </c>
      <c r="H932" s="66">
        <v>0.01</v>
      </c>
      <c r="I932" s="66">
        <v>0.6</v>
      </c>
      <c r="J932" s="66">
        <v>0</v>
      </c>
      <c r="K932" s="66">
        <v>0.04</v>
      </c>
      <c r="L932" s="66">
        <v>3.4</v>
      </c>
      <c r="M932" s="66">
        <v>2.1</v>
      </c>
      <c r="N932" s="66">
        <v>1.7</v>
      </c>
      <c r="O932" s="75">
        <v>0.46</v>
      </c>
    </row>
    <row r="933" spans="1:16" ht="15.75" x14ac:dyDescent="0.25">
      <c r="A933" s="65"/>
      <c r="B933" s="76" t="s">
        <v>362</v>
      </c>
      <c r="C933" s="74">
        <v>20</v>
      </c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75"/>
    </row>
    <row r="934" spans="1:16" ht="15.75" x14ac:dyDescent="0.25">
      <c r="A934" s="65"/>
      <c r="B934" s="76" t="s">
        <v>130</v>
      </c>
      <c r="C934" s="74">
        <v>10</v>
      </c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75"/>
    </row>
    <row r="935" spans="1:16" s="11" customFormat="1" ht="15.75" x14ac:dyDescent="0.25">
      <c r="A935" s="65"/>
      <c r="B935" s="73" t="s">
        <v>51</v>
      </c>
      <c r="C935" s="74">
        <v>40</v>
      </c>
      <c r="D935" s="96">
        <v>3.8</v>
      </c>
      <c r="E935" s="66">
        <v>0.4</v>
      </c>
      <c r="F935" s="66">
        <v>24.6</v>
      </c>
      <c r="G935" s="66">
        <v>117.5</v>
      </c>
      <c r="H935" s="66">
        <v>5.5E-2</v>
      </c>
      <c r="I935" s="66">
        <v>0</v>
      </c>
      <c r="J935" s="66">
        <v>0</v>
      </c>
      <c r="K935" s="66">
        <v>0.55000000000000004</v>
      </c>
      <c r="L935" s="66">
        <v>10</v>
      </c>
      <c r="M935" s="66">
        <v>32.5</v>
      </c>
      <c r="N935" s="66">
        <v>7</v>
      </c>
      <c r="O935" s="75">
        <v>0.55000000000000004</v>
      </c>
    </row>
    <row r="936" spans="1:16" s="11" customFormat="1" ht="15.75" x14ac:dyDescent="0.25">
      <c r="A936" s="65"/>
      <c r="B936" s="73" t="s">
        <v>32</v>
      </c>
      <c r="C936" s="74">
        <v>40</v>
      </c>
      <c r="D936" s="66">
        <v>3.3</v>
      </c>
      <c r="E936" s="66">
        <v>0.6</v>
      </c>
      <c r="F936" s="66">
        <v>16.7</v>
      </c>
      <c r="G936" s="66">
        <v>87</v>
      </c>
      <c r="H936" s="66">
        <v>0.09</v>
      </c>
      <c r="I936" s="66">
        <v>0</v>
      </c>
      <c r="J936" s="66">
        <v>0</v>
      </c>
      <c r="K936" s="66">
        <v>0.7</v>
      </c>
      <c r="L936" s="66">
        <v>17.5</v>
      </c>
      <c r="M936" s="66">
        <v>79</v>
      </c>
      <c r="N936" s="66">
        <v>23.5</v>
      </c>
      <c r="O936" s="75">
        <v>1.95</v>
      </c>
    </row>
    <row r="937" spans="1:16" s="11" customFormat="1" ht="15.75" x14ac:dyDescent="0.25">
      <c r="A937" s="65"/>
      <c r="B937" s="73"/>
      <c r="C937" s="74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75"/>
    </row>
    <row r="938" spans="1:16" s="10" customFormat="1" ht="15.75" x14ac:dyDescent="0.25">
      <c r="A938" s="26"/>
      <c r="B938" s="73" t="s">
        <v>363</v>
      </c>
      <c r="C938" s="71"/>
      <c r="D938" s="72">
        <f>D939+D940</f>
        <v>0</v>
      </c>
      <c r="E938" s="72">
        <f t="shared" ref="E938:O938" si="48">E939+E940</f>
        <v>0</v>
      </c>
      <c r="F938" s="72">
        <f t="shared" si="48"/>
        <v>0</v>
      </c>
      <c r="G938" s="72">
        <f t="shared" si="48"/>
        <v>0</v>
      </c>
      <c r="H938" s="72">
        <f t="shared" si="48"/>
        <v>0</v>
      </c>
      <c r="I938" s="72">
        <f t="shared" si="48"/>
        <v>0</v>
      </c>
      <c r="J938" s="72">
        <f t="shared" si="48"/>
        <v>0</v>
      </c>
      <c r="K938" s="72">
        <f t="shared" si="48"/>
        <v>0</v>
      </c>
      <c r="L938" s="72">
        <f t="shared" si="48"/>
        <v>0</v>
      </c>
      <c r="M938" s="72">
        <f t="shared" si="48"/>
        <v>0</v>
      </c>
      <c r="N938" s="72">
        <f t="shared" si="48"/>
        <v>0</v>
      </c>
      <c r="O938" s="72">
        <f t="shared" si="48"/>
        <v>0</v>
      </c>
      <c r="P938" s="6"/>
    </row>
    <row r="939" spans="1:16" s="11" customFormat="1" ht="15.75" x14ac:dyDescent="0.25">
      <c r="A939" s="65"/>
      <c r="B939" s="73" t="s">
        <v>63</v>
      </c>
      <c r="C939" s="74" t="s">
        <v>164</v>
      </c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75"/>
    </row>
    <row r="940" spans="1:16" s="11" customFormat="1" ht="15.75" x14ac:dyDescent="0.25">
      <c r="A940" s="65"/>
      <c r="B940" s="73" t="s">
        <v>228</v>
      </c>
      <c r="C940" s="74" t="s">
        <v>135</v>
      </c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75"/>
    </row>
    <row r="941" spans="1:16" s="14" customFormat="1" ht="15.75" x14ac:dyDescent="0.25">
      <c r="A941" s="26"/>
      <c r="B941" s="73" t="s">
        <v>29</v>
      </c>
      <c r="C941" s="71"/>
      <c r="D941" s="72">
        <f t="shared" ref="D941:O941" si="49">D863+D880+D909+D938</f>
        <v>114.42809523809522</v>
      </c>
      <c r="E941" s="72">
        <f t="shared" si="49"/>
        <v>87.213333333333338</v>
      </c>
      <c r="F941" s="72">
        <f t="shared" si="49"/>
        <v>324.79000000000002</v>
      </c>
      <c r="G941" s="72">
        <f t="shared" si="49"/>
        <v>2551.0767857142851</v>
      </c>
      <c r="H941" s="72">
        <f t="shared" si="49"/>
        <v>1.7154285714285713</v>
      </c>
      <c r="I941" s="72">
        <f t="shared" si="49"/>
        <v>71.424071428571438</v>
      </c>
      <c r="J941" s="72">
        <f t="shared" si="49"/>
        <v>126.67773809523808</v>
      </c>
      <c r="K941" s="72">
        <f t="shared" si="49"/>
        <v>24.037666666666663</v>
      </c>
      <c r="L941" s="72">
        <f t="shared" si="49"/>
        <v>472.80916666666667</v>
      </c>
      <c r="M941" s="72">
        <f t="shared" si="49"/>
        <v>1448.3780952380953</v>
      </c>
      <c r="N941" s="72">
        <f t="shared" si="49"/>
        <v>409.9163095238095</v>
      </c>
      <c r="O941" s="72">
        <f t="shared" si="49"/>
        <v>30.577928571428572</v>
      </c>
      <c r="P941" s="13"/>
    </row>
    <row r="942" spans="1:16" ht="15.75" x14ac:dyDescent="0.25">
      <c r="A942" s="65"/>
      <c r="B942" s="69"/>
      <c r="C942" s="74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75"/>
    </row>
    <row r="943" spans="1:16" s="28" customFormat="1" ht="15.75" x14ac:dyDescent="0.25">
      <c r="A943" s="109" t="s">
        <v>229</v>
      </c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27"/>
    </row>
    <row r="944" spans="1:16" s="8" customFormat="1" ht="63" x14ac:dyDescent="0.25">
      <c r="A944" s="62" t="s">
        <v>230</v>
      </c>
      <c r="B944" s="110" t="s">
        <v>231</v>
      </c>
      <c r="C944" s="110"/>
      <c r="D944" s="63" t="s">
        <v>232</v>
      </c>
      <c r="E944" s="63" t="s">
        <v>233</v>
      </c>
      <c r="F944" s="63" t="s">
        <v>234</v>
      </c>
      <c r="G944" s="63" t="s">
        <v>119</v>
      </c>
      <c r="H944" s="63" t="s">
        <v>235</v>
      </c>
      <c r="I944" s="63" t="s">
        <v>236</v>
      </c>
      <c r="J944" s="63" t="s">
        <v>237</v>
      </c>
      <c r="K944" s="63" t="s">
        <v>238</v>
      </c>
      <c r="L944" s="63" t="s">
        <v>239</v>
      </c>
      <c r="M944" s="63" t="s">
        <v>240</v>
      </c>
      <c r="N944" s="63" t="s">
        <v>241</v>
      </c>
      <c r="O944" s="64" t="s">
        <v>242</v>
      </c>
      <c r="P944" s="7"/>
    </row>
    <row r="945" spans="1:16" ht="15.75" x14ac:dyDescent="0.25">
      <c r="A945" s="65">
        <v>1</v>
      </c>
      <c r="B945" s="111" t="s">
        <v>243</v>
      </c>
      <c r="C945" s="111"/>
      <c r="D945" s="66">
        <f>D10+D107+D201+D297+D396+E947+D601+D691+D775+D863</f>
        <v>691.88542857142852</v>
      </c>
      <c r="E945" s="66">
        <f t="shared" ref="E945:O945" si="50">E10+E107+E201+E297+E396+E499+E601+E691+E775+E863</f>
        <v>233.40460162601627</v>
      </c>
      <c r="F945" s="66">
        <f t="shared" si="50"/>
        <v>981.29127642276421</v>
      </c>
      <c r="G945" s="66">
        <f t="shared" si="50"/>
        <v>7093.9827409988393</v>
      </c>
      <c r="H945" s="66">
        <f t="shared" si="50"/>
        <v>3.9551348432055748</v>
      </c>
      <c r="I945" s="66">
        <f t="shared" si="50"/>
        <v>65.923428571428573</v>
      </c>
      <c r="J945" s="66">
        <f t="shared" si="50"/>
        <v>1350.6922415795586</v>
      </c>
      <c r="K945" s="66">
        <f t="shared" si="50"/>
        <v>30.384806039488964</v>
      </c>
      <c r="L945" s="66">
        <f t="shared" si="50"/>
        <v>3866.9548826945415</v>
      </c>
      <c r="M945" s="66">
        <f t="shared" si="50"/>
        <v>5105.4371393728225</v>
      </c>
      <c r="N945" s="66">
        <f t="shared" si="50"/>
        <v>979.31029732868762</v>
      </c>
      <c r="O945" s="66">
        <f t="shared" si="50"/>
        <v>49.329796399535418</v>
      </c>
    </row>
    <row r="946" spans="1:16" ht="15.75" x14ac:dyDescent="0.25">
      <c r="A946" s="65">
        <v>3</v>
      </c>
      <c r="B946" s="111" t="s">
        <v>244</v>
      </c>
      <c r="C946" s="111"/>
      <c r="D946" s="66">
        <f t="shared" ref="D946:O946" si="51">D28+D129+D226+D314+D416+D525+D618+D711+D788+D880</f>
        <v>375.55539431582912</v>
      </c>
      <c r="E946" s="66">
        <f t="shared" si="51"/>
        <v>320.45254959533224</v>
      </c>
      <c r="F946" s="66">
        <f t="shared" si="51"/>
        <v>1037.8476623376623</v>
      </c>
      <c r="G946" s="66">
        <f t="shared" si="51"/>
        <v>8632.0625376435146</v>
      </c>
      <c r="H946" s="66">
        <f t="shared" si="51"/>
        <v>5.0913588179936005</v>
      </c>
      <c r="I946" s="66">
        <f t="shared" si="51"/>
        <v>315.29239271597964</v>
      </c>
      <c r="J946" s="66">
        <f t="shared" si="51"/>
        <v>900.43154761904771</v>
      </c>
      <c r="K946" s="66">
        <f t="shared" si="51"/>
        <v>82.45036533032183</v>
      </c>
      <c r="L946" s="66">
        <f t="shared" si="51"/>
        <v>1759.5674998117825</v>
      </c>
      <c r="M946" s="66">
        <f t="shared" si="51"/>
        <v>5298.2865145868618</v>
      </c>
      <c r="N946" s="66">
        <f t="shared" si="51"/>
        <v>1526.7466908526255</v>
      </c>
      <c r="O946" s="66">
        <f t="shared" si="51"/>
        <v>101.1250135704875</v>
      </c>
    </row>
    <row r="947" spans="1:16" ht="15.75" x14ac:dyDescent="0.25">
      <c r="A947" s="65">
        <v>5</v>
      </c>
      <c r="B947" s="111" t="s">
        <v>245</v>
      </c>
      <c r="C947" s="111"/>
      <c r="D947" s="66">
        <f>D66+D158+D258+D350+D446+D555+D643+D735+D820+D909</f>
        <v>356.02034615384616</v>
      </c>
      <c r="E947" s="66">
        <v>391.58</v>
      </c>
      <c r="F947" s="66">
        <f t="shared" ref="F947:O947" si="52">F66+F158+F258+F350+F446+F555+F643+F735+F820+F909</f>
        <v>1204.950088071349</v>
      </c>
      <c r="G947" s="66">
        <f t="shared" si="52"/>
        <v>8322.7136794871785</v>
      </c>
      <c r="H947" s="66">
        <f t="shared" si="52"/>
        <v>4.5098375696767006</v>
      </c>
      <c r="I947" s="66">
        <f t="shared" si="52"/>
        <v>350.6242675585284</v>
      </c>
      <c r="J947" s="66">
        <f t="shared" si="52"/>
        <v>695.59400000000016</v>
      </c>
      <c r="K947" s="66">
        <f t="shared" si="52"/>
        <v>72.514556856187298</v>
      </c>
      <c r="L947" s="66">
        <f t="shared" si="52"/>
        <v>1586.1958773690078</v>
      </c>
      <c r="M947" s="66">
        <f t="shared" si="52"/>
        <v>4752.2609542920845</v>
      </c>
      <c r="N947" s="66">
        <f t="shared" si="52"/>
        <v>1323.6545050167224</v>
      </c>
      <c r="O947" s="66">
        <f t="shared" si="52"/>
        <v>87.465554738015612</v>
      </c>
    </row>
    <row r="948" spans="1:16" ht="15.75" x14ac:dyDescent="0.25">
      <c r="A948" s="65">
        <v>4</v>
      </c>
      <c r="B948" s="111" t="s">
        <v>246</v>
      </c>
      <c r="C948" s="111"/>
      <c r="D948" s="66">
        <f t="shared" ref="D948:O948" si="53">D97+D190+D281+D385+D481+D591+D674+D764+D853+D938</f>
        <v>95.88000000000001</v>
      </c>
      <c r="E948" s="66">
        <f t="shared" si="53"/>
        <v>77.77</v>
      </c>
      <c r="F948" s="66">
        <f t="shared" si="53"/>
        <v>427.43</v>
      </c>
      <c r="G948" s="66">
        <f t="shared" si="53"/>
        <v>3083.26</v>
      </c>
      <c r="H948" s="66">
        <f t="shared" si="53"/>
        <v>1.9319999999999999</v>
      </c>
      <c r="I948" s="66">
        <f t="shared" si="53"/>
        <v>36.637</v>
      </c>
      <c r="J948" s="66">
        <f t="shared" si="53"/>
        <v>12.349999999999998</v>
      </c>
      <c r="K948" s="66">
        <f t="shared" si="53"/>
        <v>5.41</v>
      </c>
      <c r="L948" s="66">
        <f t="shared" si="53"/>
        <v>1427.741</v>
      </c>
      <c r="M948" s="66">
        <f t="shared" si="53"/>
        <v>1207.462</v>
      </c>
      <c r="N948" s="66">
        <f t="shared" si="53"/>
        <v>184.06099999999998</v>
      </c>
      <c r="O948" s="66">
        <f t="shared" si="53"/>
        <v>9.7750000000000004</v>
      </c>
    </row>
    <row r="949" spans="1:16" s="10" customFormat="1" ht="16.5" thickBot="1" x14ac:dyDescent="0.3">
      <c r="A949" s="67"/>
      <c r="B949" s="112" t="s">
        <v>247</v>
      </c>
      <c r="C949" s="112"/>
      <c r="D949" s="68">
        <f>D945+D946+D947+D948</f>
        <v>1519.341169041104</v>
      </c>
      <c r="E949" s="68">
        <f t="shared" ref="E949:O949" si="54">E945+E946+E947+E948</f>
        <v>1023.2071512213486</v>
      </c>
      <c r="F949" s="68">
        <f t="shared" si="54"/>
        <v>3651.5190268317751</v>
      </c>
      <c r="G949" s="68">
        <f t="shared" si="54"/>
        <v>27132.018958129534</v>
      </c>
      <c r="H949" s="68">
        <f t="shared" si="54"/>
        <v>15.488331230875877</v>
      </c>
      <c r="I949" s="68">
        <f t="shared" si="54"/>
        <v>768.47708884593658</v>
      </c>
      <c r="J949" s="68">
        <f t="shared" si="54"/>
        <v>2959.0677891986065</v>
      </c>
      <c r="K949" s="68">
        <f t="shared" si="54"/>
        <v>190.75972822599809</v>
      </c>
      <c r="L949" s="68">
        <f t="shared" si="54"/>
        <v>8640.4592598753316</v>
      </c>
      <c r="M949" s="68">
        <f t="shared" si="54"/>
        <v>16363.446608251768</v>
      </c>
      <c r="N949" s="68">
        <f t="shared" si="54"/>
        <v>4013.7724931980356</v>
      </c>
      <c r="O949" s="68">
        <f t="shared" si="54"/>
        <v>247.69536470803854</v>
      </c>
      <c r="P949" s="6"/>
    </row>
    <row r="950" spans="1:16" s="28" customFormat="1" ht="15.75" x14ac:dyDescent="0.25">
      <c r="A950" s="113" t="s">
        <v>248</v>
      </c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27"/>
    </row>
    <row r="951" spans="1:16" s="8" customFormat="1" ht="63" x14ac:dyDescent="0.25">
      <c r="A951" s="62" t="s">
        <v>230</v>
      </c>
      <c r="B951" s="110" t="s">
        <v>231</v>
      </c>
      <c r="C951" s="110"/>
      <c r="D951" s="63" t="s">
        <v>232</v>
      </c>
      <c r="E951" s="63" t="s">
        <v>233</v>
      </c>
      <c r="F951" s="63" t="s">
        <v>234</v>
      </c>
      <c r="G951" s="63" t="s">
        <v>119</v>
      </c>
      <c r="H951" s="63" t="s">
        <v>235</v>
      </c>
      <c r="I951" s="63" t="s">
        <v>236</v>
      </c>
      <c r="J951" s="63" t="s">
        <v>237</v>
      </c>
      <c r="K951" s="63" t="s">
        <v>238</v>
      </c>
      <c r="L951" s="63" t="s">
        <v>239</v>
      </c>
      <c r="M951" s="63" t="s">
        <v>240</v>
      </c>
      <c r="N951" s="63" t="s">
        <v>241</v>
      </c>
      <c r="O951" s="64" t="s">
        <v>242</v>
      </c>
      <c r="P951" s="7"/>
    </row>
    <row r="952" spans="1:16" ht="15.75" x14ac:dyDescent="0.25">
      <c r="A952" s="65">
        <v>1</v>
      </c>
      <c r="B952" s="111" t="s">
        <v>243</v>
      </c>
      <c r="C952" s="111"/>
      <c r="D952" s="66">
        <f>D945/10</f>
        <v>69.188542857142849</v>
      </c>
      <c r="E952" s="66">
        <f t="shared" ref="E952:O952" si="55">E945/10</f>
        <v>23.340460162601627</v>
      </c>
      <c r="F952" s="66">
        <f t="shared" si="55"/>
        <v>98.129127642276416</v>
      </c>
      <c r="G952" s="66">
        <f t="shared" si="55"/>
        <v>709.39827409988391</v>
      </c>
      <c r="H952" s="66">
        <f t="shared" si="55"/>
        <v>0.3955134843205575</v>
      </c>
      <c r="I952" s="66">
        <f t="shared" si="55"/>
        <v>6.5923428571428575</v>
      </c>
      <c r="J952" s="66">
        <f t="shared" si="55"/>
        <v>135.06922415795586</v>
      </c>
      <c r="K952" s="66">
        <f t="shared" si="55"/>
        <v>3.0384806039488965</v>
      </c>
      <c r="L952" s="66">
        <f t="shared" si="55"/>
        <v>386.69548826945413</v>
      </c>
      <c r="M952" s="66">
        <f t="shared" si="55"/>
        <v>510.54371393728223</v>
      </c>
      <c r="N952" s="66">
        <f t="shared" si="55"/>
        <v>97.931029732868765</v>
      </c>
      <c r="O952" s="66">
        <f t="shared" si="55"/>
        <v>4.9329796399535422</v>
      </c>
    </row>
    <row r="953" spans="1:16" ht="15.75" x14ac:dyDescent="0.25">
      <c r="A953" s="65">
        <v>3</v>
      </c>
      <c r="B953" s="111" t="s">
        <v>244</v>
      </c>
      <c r="C953" s="111"/>
      <c r="D953" s="66">
        <f t="shared" ref="D953:O955" si="56">D946/10</f>
        <v>37.555539431582915</v>
      </c>
      <c r="E953" s="66">
        <f t="shared" si="56"/>
        <v>32.045254959533224</v>
      </c>
      <c r="F953" s="66">
        <f t="shared" si="56"/>
        <v>103.78476623376623</v>
      </c>
      <c r="G953" s="66">
        <f t="shared" si="56"/>
        <v>863.20625376435146</v>
      </c>
      <c r="H953" s="66">
        <f t="shared" si="56"/>
        <v>0.50913588179936009</v>
      </c>
      <c r="I953" s="66">
        <f t="shared" si="56"/>
        <v>31.529239271597966</v>
      </c>
      <c r="J953" s="66">
        <f t="shared" si="56"/>
        <v>90.043154761904773</v>
      </c>
      <c r="K953" s="66">
        <f t="shared" si="56"/>
        <v>8.2450365330321826</v>
      </c>
      <c r="L953" s="66">
        <f t="shared" si="56"/>
        <v>175.95674998117823</v>
      </c>
      <c r="M953" s="66">
        <f t="shared" si="56"/>
        <v>529.82865145868618</v>
      </c>
      <c r="N953" s="66">
        <f t="shared" si="56"/>
        <v>152.67466908526256</v>
      </c>
      <c r="O953" s="66">
        <f t="shared" si="56"/>
        <v>10.11250135704875</v>
      </c>
    </row>
    <row r="954" spans="1:16" ht="15.75" x14ac:dyDescent="0.25">
      <c r="A954" s="65">
        <v>5</v>
      </c>
      <c r="B954" s="111" t="s">
        <v>245</v>
      </c>
      <c r="C954" s="111"/>
      <c r="D954" s="66">
        <f t="shared" si="56"/>
        <v>35.602034615384618</v>
      </c>
      <c r="E954" s="66">
        <f t="shared" si="56"/>
        <v>39.158000000000001</v>
      </c>
      <c r="F954" s="66">
        <f t="shared" si="56"/>
        <v>120.49500880713489</v>
      </c>
      <c r="G954" s="66">
        <f t="shared" si="56"/>
        <v>832.27136794871785</v>
      </c>
      <c r="H954" s="66">
        <f t="shared" si="56"/>
        <v>0.45098375696767007</v>
      </c>
      <c r="I954" s="66">
        <f t="shared" si="56"/>
        <v>35.06242675585284</v>
      </c>
      <c r="J954" s="66">
        <f t="shared" si="56"/>
        <v>69.559400000000011</v>
      </c>
      <c r="K954" s="66">
        <f t="shared" si="56"/>
        <v>7.2514556856187298</v>
      </c>
      <c r="L954" s="66">
        <f t="shared" si="56"/>
        <v>158.61958773690077</v>
      </c>
      <c r="M954" s="66">
        <f t="shared" si="56"/>
        <v>475.22609542920844</v>
      </c>
      <c r="N954" s="66">
        <f t="shared" si="56"/>
        <v>132.36545050167223</v>
      </c>
      <c r="O954" s="66">
        <f t="shared" si="56"/>
        <v>8.7465554738015605</v>
      </c>
    </row>
    <row r="955" spans="1:16" ht="15.75" x14ac:dyDescent="0.25">
      <c r="A955" s="65">
        <v>4</v>
      </c>
      <c r="B955" s="111" t="s">
        <v>246</v>
      </c>
      <c r="C955" s="111"/>
      <c r="D955" s="66">
        <f t="shared" si="56"/>
        <v>9.588000000000001</v>
      </c>
      <c r="E955" s="66">
        <f t="shared" si="56"/>
        <v>7.7769999999999992</v>
      </c>
      <c r="F955" s="66">
        <f t="shared" si="56"/>
        <v>42.743000000000002</v>
      </c>
      <c r="G955" s="66">
        <f t="shared" si="56"/>
        <v>308.32600000000002</v>
      </c>
      <c r="H955" s="66">
        <f t="shared" si="56"/>
        <v>0.19319999999999998</v>
      </c>
      <c r="I955" s="66">
        <f t="shared" si="56"/>
        <v>3.6637</v>
      </c>
      <c r="J955" s="66">
        <f t="shared" si="56"/>
        <v>1.2349999999999999</v>
      </c>
      <c r="K955" s="66">
        <f t="shared" si="56"/>
        <v>0.54100000000000004</v>
      </c>
      <c r="L955" s="66">
        <f t="shared" si="56"/>
        <v>142.7741</v>
      </c>
      <c r="M955" s="66">
        <f t="shared" si="56"/>
        <v>120.7462</v>
      </c>
      <c r="N955" s="66">
        <f t="shared" si="56"/>
        <v>18.406099999999999</v>
      </c>
      <c r="O955" s="66">
        <f t="shared" si="56"/>
        <v>0.97750000000000004</v>
      </c>
    </row>
    <row r="956" spans="1:16" s="10" customFormat="1" ht="16.5" thickBot="1" x14ac:dyDescent="0.3">
      <c r="A956" s="67"/>
      <c r="B956" s="112" t="s">
        <v>247</v>
      </c>
      <c r="C956" s="112"/>
      <c r="D956" s="68">
        <f>SUM(D952:D955)</f>
        <v>151.93411690411037</v>
      </c>
      <c r="E956" s="68">
        <f t="shared" ref="E956:O956" si="57">SUM(E952:E955)</f>
        <v>102.32071512213486</v>
      </c>
      <c r="F956" s="68">
        <f t="shared" si="57"/>
        <v>365.15190268317752</v>
      </c>
      <c r="G956" s="68">
        <f t="shared" si="57"/>
        <v>2713.2018958129534</v>
      </c>
      <c r="H956" s="68">
        <f t="shared" si="57"/>
        <v>1.5488331230875876</v>
      </c>
      <c r="I956" s="68">
        <f t="shared" si="57"/>
        <v>76.847708884593672</v>
      </c>
      <c r="J956" s="68">
        <f t="shared" si="57"/>
        <v>295.9067789198607</v>
      </c>
      <c r="K956" s="68">
        <f t="shared" si="57"/>
        <v>19.075972822599809</v>
      </c>
      <c r="L956" s="68">
        <f t="shared" si="57"/>
        <v>864.045925987533</v>
      </c>
      <c r="M956" s="68">
        <f t="shared" si="57"/>
        <v>1636.344660825177</v>
      </c>
      <c r="N956" s="68">
        <f t="shared" si="57"/>
        <v>401.37724931980352</v>
      </c>
      <c r="O956" s="68">
        <f t="shared" si="57"/>
        <v>24.76953647080385</v>
      </c>
      <c r="P956" s="6"/>
    </row>
  </sheetData>
  <mergeCells count="105">
    <mergeCell ref="B952:C952"/>
    <mergeCell ref="B953:C953"/>
    <mergeCell ref="B954:C954"/>
    <mergeCell ref="B955:C955"/>
    <mergeCell ref="B956:C956"/>
    <mergeCell ref="B946:C946"/>
    <mergeCell ref="B947:C947"/>
    <mergeCell ref="B948:C948"/>
    <mergeCell ref="B949:C949"/>
    <mergeCell ref="A950:O950"/>
    <mergeCell ref="B951:C951"/>
    <mergeCell ref="G861:G862"/>
    <mergeCell ref="H861:K861"/>
    <mergeCell ref="L861:O861"/>
    <mergeCell ref="A943:O943"/>
    <mergeCell ref="B944:C944"/>
    <mergeCell ref="B945:C945"/>
    <mergeCell ref="A859:A860"/>
    <mergeCell ref="B859:B860"/>
    <mergeCell ref="A861:A862"/>
    <mergeCell ref="B861:B862"/>
    <mergeCell ref="C861:C862"/>
    <mergeCell ref="D861:F861"/>
    <mergeCell ref="A771:A772"/>
    <mergeCell ref="B771:B772"/>
    <mergeCell ref="A773:A774"/>
    <mergeCell ref="B773:B774"/>
    <mergeCell ref="C773:C774"/>
    <mergeCell ref="D773:F773"/>
    <mergeCell ref="G773:G774"/>
    <mergeCell ref="H773:K773"/>
    <mergeCell ref="L773:O773"/>
    <mergeCell ref="A687:A688"/>
    <mergeCell ref="B687:B688"/>
    <mergeCell ref="A689:A690"/>
    <mergeCell ref="B689:B690"/>
    <mergeCell ref="C689:C690"/>
    <mergeCell ref="D689:F689"/>
    <mergeCell ref="G689:G690"/>
    <mergeCell ref="H689:K689"/>
    <mergeCell ref="L689:O689"/>
    <mergeCell ref="A597:A598"/>
    <mergeCell ref="B597:B598"/>
    <mergeCell ref="A599:A600"/>
    <mergeCell ref="B599:B600"/>
    <mergeCell ref="C599:C600"/>
    <mergeCell ref="D599:F599"/>
    <mergeCell ref="G599:G600"/>
    <mergeCell ref="H599:K599"/>
    <mergeCell ref="L599:O599"/>
    <mergeCell ref="A497:A498"/>
    <mergeCell ref="B497:B498"/>
    <mergeCell ref="C497:C498"/>
    <mergeCell ref="D497:F497"/>
    <mergeCell ref="L295:O295"/>
    <mergeCell ref="A392:A393"/>
    <mergeCell ref="B392:B393"/>
    <mergeCell ref="A394:A395"/>
    <mergeCell ref="B394:B395"/>
    <mergeCell ref="C394:C395"/>
    <mergeCell ref="D394:F394"/>
    <mergeCell ref="G394:G395"/>
    <mergeCell ref="H394:K394"/>
    <mergeCell ref="L394:O394"/>
    <mergeCell ref="G497:G498"/>
    <mergeCell ref="H497:K497"/>
    <mergeCell ref="L497:O497"/>
    <mergeCell ref="A293:A294"/>
    <mergeCell ref="B293:B294"/>
    <mergeCell ref="A295:A296"/>
    <mergeCell ref="B295:B296"/>
    <mergeCell ref="C295:C296"/>
    <mergeCell ref="D295:F295"/>
    <mergeCell ref="G295:G296"/>
    <mergeCell ref="H295:K295"/>
    <mergeCell ref="A495:A496"/>
    <mergeCell ref="B495:B496"/>
    <mergeCell ref="A197:A198"/>
    <mergeCell ref="B197:B198"/>
    <mergeCell ref="A199:A200"/>
    <mergeCell ref="B199:B200"/>
    <mergeCell ref="C199:C200"/>
    <mergeCell ref="D199:F199"/>
    <mergeCell ref="G199:G200"/>
    <mergeCell ref="H199:K199"/>
    <mergeCell ref="L199:O199"/>
    <mergeCell ref="A103:A104"/>
    <mergeCell ref="B103:B104"/>
    <mergeCell ref="A105:A106"/>
    <mergeCell ref="B105:B106"/>
    <mergeCell ref="C105:C106"/>
    <mergeCell ref="D105:F105"/>
    <mergeCell ref="A3:O4"/>
    <mergeCell ref="A6:A7"/>
    <mergeCell ref="B6:B7"/>
    <mergeCell ref="A8:A9"/>
    <mergeCell ref="B8:B9"/>
    <mergeCell ref="C8:C9"/>
    <mergeCell ref="D8:F8"/>
    <mergeCell ref="G8:G9"/>
    <mergeCell ref="H8:K8"/>
    <mergeCell ref="L8:O8"/>
    <mergeCell ref="G105:G106"/>
    <mergeCell ref="H105:K105"/>
    <mergeCell ref="L105:O105"/>
  </mergeCells>
  <pageMargins left="0.39370078740157483" right="0.39370078740157483" top="0.39370078740157483" bottom="0.39370078740157483" header="0.31496062992125984" footer="0.19685039370078741"/>
  <pageSetup paperSize="9" scale="85" firstPageNumber="0" fitToHeight="0" orientation="landscape" r:id="rId1"/>
  <rowBreaks count="10" manualBreakCount="10">
    <brk id="100" max="14" man="1"/>
    <brk id="194" max="14" man="1"/>
    <brk id="290" max="14" man="1"/>
    <brk id="389" max="14" man="1"/>
    <brk id="492" max="14" man="1"/>
    <brk id="594" max="14" man="1"/>
    <brk id="684" max="14" man="1"/>
    <brk id="768" max="14" man="1"/>
    <brk id="856" max="14" man="1"/>
    <brk id="942" max="1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2"/>
  <sheetViews>
    <sheetView topLeftCell="A7" zoomScale="95" zoomScaleNormal="95" workbookViewId="0">
      <selection activeCell="M47" sqref="M47"/>
    </sheetView>
  </sheetViews>
  <sheetFormatPr defaultColWidth="5.7109375" defaultRowHeight="15.75" x14ac:dyDescent="0.25"/>
  <cols>
    <col min="1" max="1" width="6.140625" style="33" customWidth="1"/>
    <col min="2" max="2" width="40.85546875" style="33" customWidth="1"/>
    <col min="3" max="3" width="10.85546875" style="34" customWidth="1"/>
    <col min="4" max="13" width="10.85546875" style="33" customWidth="1"/>
    <col min="14" max="14" width="12.85546875" style="33" customWidth="1"/>
    <col min="15" max="15" width="12.140625" style="33" customWidth="1"/>
    <col min="16" max="16" width="12.28515625" style="33" customWidth="1"/>
    <col min="17" max="1025" width="5.7109375" style="33"/>
    <col min="1026" max="16384" width="5.7109375" style="32"/>
  </cols>
  <sheetData>
    <row r="1" spans="1:1025" ht="13.5" customHeight="1" x14ac:dyDescent="0.25">
      <c r="A1" s="114" t="s">
        <v>310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025" ht="27.75" customHeight="1" x14ac:dyDescent="0.25">
      <c r="A2" s="115" t="s">
        <v>276</v>
      </c>
      <c r="B2" s="115" t="s">
        <v>275</v>
      </c>
      <c r="C2" s="115" t="s">
        <v>274</v>
      </c>
      <c r="D2" s="115" t="s">
        <v>273</v>
      </c>
      <c r="E2" s="115"/>
      <c r="F2" s="115"/>
      <c r="G2" s="115"/>
      <c r="H2" s="115"/>
      <c r="I2" s="115"/>
      <c r="J2" s="115"/>
      <c r="K2" s="115"/>
      <c r="L2" s="115"/>
      <c r="M2" s="115"/>
      <c r="N2" s="115" t="s">
        <v>324</v>
      </c>
      <c r="O2" s="115" t="s">
        <v>272</v>
      </c>
      <c r="P2" s="115" t="s">
        <v>271</v>
      </c>
    </row>
    <row r="3" spans="1:1025" x14ac:dyDescent="0.25">
      <c r="A3" s="119"/>
      <c r="B3" s="119"/>
      <c r="C3" s="120"/>
      <c r="D3" s="116" t="s">
        <v>308</v>
      </c>
      <c r="E3" s="117"/>
      <c r="F3" s="117"/>
      <c r="G3" s="117"/>
      <c r="H3" s="118"/>
      <c r="I3" s="116" t="s">
        <v>309</v>
      </c>
      <c r="J3" s="117"/>
      <c r="K3" s="117"/>
      <c r="L3" s="117"/>
      <c r="M3" s="118"/>
      <c r="N3" s="119"/>
      <c r="O3" s="119"/>
      <c r="P3" s="119"/>
    </row>
    <row r="4" spans="1:1025" x14ac:dyDescent="0.25">
      <c r="A4" s="120"/>
      <c r="B4" s="120"/>
      <c r="C4" s="49" t="s">
        <v>329</v>
      </c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120"/>
      <c r="O4" s="120"/>
      <c r="P4" s="120"/>
    </row>
    <row r="5" spans="1:1025" hidden="1" x14ac:dyDescent="0.25">
      <c r="A5" s="35" t="s">
        <v>292</v>
      </c>
      <c r="B5" s="38" t="s">
        <v>293</v>
      </c>
      <c r="C5" s="39" t="s">
        <v>294</v>
      </c>
      <c r="D5" s="36" t="s">
        <v>295</v>
      </c>
      <c r="E5" s="36" t="s">
        <v>296</v>
      </c>
      <c r="F5" s="36" t="s">
        <v>297</v>
      </c>
      <c r="G5" s="36" t="s">
        <v>298</v>
      </c>
      <c r="H5" s="36" t="s">
        <v>299</v>
      </c>
      <c r="I5" s="36" t="s">
        <v>300</v>
      </c>
      <c r="J5" s="36" t="s">
        <v>301</v>
      </c>
      <c r="K5" s="36" t="s">
        <v>302</v>
      </c>
      <c r="L5" s="36" t="s">
        <v>303</v>
      </c>
      <c r="M5" s="36" t="s">
        <v>304</v>
      </c>
      <c r="N5" s="36" t="s">
        <v>305</v>
      </c>
      <c r="O5" s="36" t="s">
        <v>306</v>
      </c>
      <c r="P5" s="37" t="s">
        <v>307</v>
      </c>
    </row>
    <row r="6" spans="1:1025" s="44" customFormat="1" ht="12.95" customHeight="1" x14ac:dyDescent="0.25">
      <c r="A6" s="51">
        <v>1</v>
      </c>
      <c r="B6" s="52" t="s">
        <v>270</v>
      </c>
      <c r="C6" s="41">
        <v>120</v>
      </c>
      <c r="D6" s="42">
        <v>80</v>
      </c>
      <c r="E6" s="42">
        <v>80</v>
      </c>
      <c r="F6" s="42">
        <v>80</v>
      </c>
      <c r="G6" s="42">
        <v>80</v>
      </c>
      <c r="H6" s="42">
        <v>80</v>
      </c>
      <c r="I6" s="42">
        <v>80</v>
      </c>
      <c r="J6" s="42">
        <v>80</v>
      </c>
      <c r="K6" s="42">
        <v>80</v>
      </c>
      <c r="L6" s="42">
        <v>80</v>
      </c>
      <c r="M6" s="42">
        <v>80</v>
      </c>
      <c r="N6" s="57">
        <f>SUM(Таблица3[[#This Row],[Столбец4]:[Столбец13]])</f>
        <v>800</v>
      </c>
      <c r="O6" s="57">
        <f>IFERROR(AVERAGE(Таблица3[[#This Row],[Столбец4]:[Столбец13]]),0)</f>
        <v>80</v>
      </c>
      <c r="P6" s="58">
        <f t="shared" ref="P6:P56" si="0">O6-C6</f>
        <v>-40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</row>
    <row r="7" spans="1:1025" s="44" customFormat="1" ht="12.95" customHeight="1" x14ac:dyDescent="0.25">
      <c r="A7" s="53"/>
      <c r="B7" s="54" t="s">
        <v>270</v>
      </c>
      <c r="C7" s="45">
        <v>120</v>
      </c>
      <c r="D7" s="46">
        <v>40</v>
      </c>
      <c r="E7" s="46">
        <v>40</v>
      </c>
      <c r="F7" s="46">
        <v>40</v>
      </c>
      <c r="G7" s="46">
        <v>40</v>
      </c>
      <c r="H7" s="46">
        <v>40</v>
      </c>
      <c r="I7" s="46">
        <v>40</v>
      </c>
      <c r="J7" s="46">
        <v>40</v>
      </c>
      <c r="K7" s="46">
        <v>40</v>
      </c>
      <c r="L7" s="46">
        <v>40</v>
      </c>
      <c r="M7" s="46">
        <v>40</v>
      </c>
      <c r="N7" s="57">
        <f>SUM(Таблица3[[#This Row],[Столбец4]:[Столбец13]])</f>
        <v>400</v>
      </c>
      <c r="O7" s="57">
        <f>IFERROR(AVERAGE(Таблица3[[#This Row],[Столбец4]:[Столбец13]]),0)</f>
        <v>40</v>
      </c>
      <c r="P7" s="59">
        <f>O7-C7</f>
        <v>-80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</row>
    <row r="8" spans="1:1025" s="44" customFormat="1" ht="12.95" customHeight="1" x14ac:dyDescent="0.25">
      <c r="A8" s="51">
        <v>2</v>
      </c>
      <c r="B8" s="52" t="s">
        <v>51</v>
      </c>
      <c r="C8" s="41">
        <v>200</v>
      </c>
      <c r="D8" s="42">
        <f>20+40+40</f>
        <v>100</v>
      </c>
      <c r="E8" s="42">
        <v>80</v>
      </c>
      <c r="F8" s="42">
        <v>100</v>
      </c>
      <c r="G8" s="42">
        <v>100</v>
      </c>
      <c r="H8" s="42">
        <f>20+40+18.75+40</f>
        <v>118.75</v>
      </c>
      <c r="I8" s="42">
        <f>40+8.4+40</f>
        <v>88.4</v>
      </c>
      <c r="J8" s="42">
        <v>100</v>
      </c>
      <c r="K8" s="42">
        <v>80</v>
      </c>
      <c r="L8" s="42">
        <v>80</v>
      </c>
      <c r="M8" s="42">
        <v>89</v>
      </c>
      <c r="N8" s="57">
        <f>SUM(Таблица3[[#This Row],[Столбец4]:[Столбец13]])</f>
        <v>936.15</v>
      </c>
      <c r="O8" s="57">
        <f>IFERROR(AVERAGE(Таблица3[[#This Row],[Столбец4]:[Столбец13]]),0)</f>
        <v>93.614999999999995</v>
      </c>
      <c r="P8" s="58">
        <f t="shared" si="0"/>
        <v>-106.38500000000001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</row>
    <row r="9" spans="1:1025" s="44" customFormat="1" ht="12.95" customHeight="1" x14ac:dyDescent="0.25">
      <c r="A9" s="53"/>
      <c r="B9" s="54" t="s">
        <v>51</v>
      </c>
      <c r="C9" s="45">
        <v>200</v>
      </c>
      <c r="D9" s="46">
        <v>40</v>
      </c>
      <c r="E9" s="46">
        <v>40</v>
      </c>
      <c r="F9" s="46">
        <v>40</v>
      </c>
      <c r="G9" s="46">
        <v>40</v>
      </c>
      <c r="H9" s="46">
        <v>40</v>
      </c>
      <c r="I9" s="46">
        <v>40</v>
      </c>
      <c r="J9" s="46">
        <v>40</v>
      </c>
      <c r="K9" s="46">
        <v>54</v>
      </c>
      <c r="L9" s="46">
        <v>40</v>
      </c>
      <c r="M9" s="46">
        <v>40</v>
      </c>
      <c r="N9" s="57">
        <f>SUM(Таблица3[[#This Row],[Столбец4]:[Столбец13]])</f>
        <v>414</v>
      </c>
      <c r="O9" s="57">
        <f>IFERROR(AVERAGE(Таблица3[[#This Row],[Столбец4]:[Столбец13]]),0)</f>
        <v>41.4</v>
      </c>
      <c r="P9" s="59">
        <f>O9-C9</f>
        <v>-158.6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</row>
    <row r="10" spans="1:1025" s="44" customFormat="1" ht="12.95" customHeight="1" x14ac:dyDescent="0.25">
      <c r="A10" s="51">
        <v>3</v>
      </c>
      <c r="B10" s="52" t="s">
        <v>159</v>
      </c>
      <c r="C10" s="41">
        <v>20</v>
      </c>
      <c r="D10" s="42">
        <v>1.75</v>
      </c>
      <c r="E10" s="42">
        <v>3.94</v>
      </c>
      <c r="F10" s="42">
        <f>7.7+1.42</f>
        <v>9.120000000000001</v>
      </c>
      <c r="G10" s="42">
        <v>0</v>
      </c>
      <c r="H10" s="42">
        <v>0</v>
      </c>
      <c r="I10" s="42">
        <f>3.85+1.71</f>
        <v>5.5600000000000005</v>
      </c>
      <c r="J10" s="42">
        <v>0</v>
      </c>
      <c r="K10" s="42">
        <v>3.84</v>
      </c>
      <c r="L10" s="42">
        <v>19.8</v>
      </c>
      <c r="M10" s="42">
        <v>0</v>
      </c>
      <c r="N10" s="57">
        <f>SUM(Таблица3[[#This Row],[Столбец4]:[Столбец13]])</f>
        <v>44.010000000000005</v>
      </c>
      <c r="O10" s="57">
        <f>IFERROR(AVERAGE(Таблица3[[#This Row],[Столбец4]:[Столбец13]]),0)</f>
        <v>4.4010000000000007</v>
      </c>
      <c r="P10" s="58">
        <f t="shared" si="0"/>
        <v>-15.599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  <c r="ALZ10" s="43"/>
      <c r="AMA10" s="43"/>
      <c r="AMB10" s="43"/>
      <c r="AMC10" s="43"/>
      <c r="AMD10" s="43"/>
      <c r="AME10" s="43"/>
      <c r="AMF10" s="43"/>
      <c r="AMG10" s="43"/>
      <c r="AMH10" s="43"/>
      <c r="AMI10" s="43"/>
      <c r="AMJ10" s="43"/>
      <c r="AMK10" s="43"/>
    </row>
    <row r="11" spans="1:1025" s="44" customFormat="1" ht="12.95" customHeight="1" x14ac:dyDescent="0.25">
      <c r="A11" s="53"/>
      <c r="B11" s="54" t="s">
        <v>159</v>
      </c>
      <c r="C11" s="45">
        <v>20</v>
      </c>
      <c r="D11" s="46">
        <v>3.7</v>
      </c>
      <c r="E11" s="46">
        <v>0</v>
      </c>
      <c r="F11" s="46">
        <f>3.84+50</f>
        <v>53.84</v>
      </c>
      <c r="G11" s="46">
        <f>2.4+2.16</f>
        <v>4.5600000000000005</v>
      </c>
      <c r="H11" s="46">
        <f>4.32+13.34</f>
        <v>17.66</v>
      </c>
      <c r="I11" s="46">
        <v>1.75</v>
      </c>
      <c r="J11" s="46">
        <v>45.38</v>
      </c>
      <c r="K11" s="46">
        <v>1.75</v>
      </c>
      <c r="L11" s="46">
        <v>9.86</v>
      </c>
      <c r="M11" s="46">
        <v>0.99</v>
      </c>
      <c r="N11" s="57">
        <f>SUM(Таблица3[[#This Row],[Столбец4]:[Столбец13]])</f>
        <v>139.49</v>
      </c>
      <c r="O11" s="57">
        <f>IFERROR(AVERAGE(Таблица3[[#This Row],[Столбец4]:[Столбец13]]),0)</f>
        <v>13.949000000000002</v>
      </c>
      <c r="P11" s="59">
        <f>O11-C11</f>
        <v>-6.0509999999999984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  <c r="ALZ11" s="43"/>
      <c r="AMA11" s="43"/>
      <c r="AMB11" s="43"/>
      <c r="AMC11" s="43"/>
      <c r="AMD11" s="43"/>
      <c r="AME11" s="43"/>
      <c r="AMF11" s="43"/>
      <c r="AMG11" s="43"/>
      <c r="AMH11" s="43"/>
      <c r="AMI11" s="43"/>
      <c r="AMJ11" s="43"/>
      <c r="AMK11" s="43"/>
    </row>
    <row r="12" spans="1:1025" s="44" customFormat="1" ht="12.95" customHeight="1" x14ac:dyDescent="0.25">
      <c r="A12" s="51">
        <v>4</v>
      </c>
      <c r="B12" s="52" t="s">
        <v>269</v>
      </c>
      <c r="C12" s="41">
        <v>50</v>
      </c>
      <c r="D12" s="42">
        <f>31.25+9.14+54</f>
        <v>94.39</v>
      </c>
      <c r="E12" s="42">
        <v>64.150000000000006</v>
      </c>
      <c r="F12" s="42">
        <v>13.33</v>
      </c>
      <c r="G12" s="42">
        <v>47.52</v>
      </c>
      <c r="H12" s="42">
        <f>38.5+64.44</f>
        <v>102.94</v>
      </c>
      <c r="I12" s="42">
        <v>0</v>
      </c>
      <c r="J12" s="42">
        <f>37.12+10</f>
        <v>47.12</v>
      </c>
      <c r="K12" s="42">
        <v>13.33</v>
      </c>
      <c r="L12" s="42">
        <f>55+10</f>
        <v>65</v>
      </c>
      <c r="M12" s="42">
        <f>57.73+83.66</f>
        <v>141.38999999999999</v>
      </c>
      <c r="N12" s="57">
        <f>SUM(Таблица3[[#This Row],[Столбец4]:[Столбец13]])</f>
        <v>589.17000000000007</v>
      </c>
      <c r="O12" s="57">
        <f>IFERROR(AVERAGE(Таблица3[[#This Row],[Столбец4]:[Столбец13]]),0)</f>
        <v>58.917000000000009</v>
      </c>
      <c r="P12" s="58">
        <f t="shared" si="0"/>
        <v>8.9170000000000087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</row>
    <row r="13" spans="1:1025" s="44" customFormat="1" ht="12.95" customHeight="1" x14ac:dyDescent="0.25">
      <c r="A13" s="53"/>
      <c r="B13" s="54" t="s">
        <v>269</v>
      </c>
      <c r="C13" s="45">
        <v>50</v>
      </c>
      <c r="D13" s="46">
        <v>0</v>
      </c>
      <c r="E13" s="46">
        <f>35.05+42.04</f>
        <v>77.09</v>
      </c>
      <c r="F13" s="46">
        <v>5</v>
      </c>
      <c r="G13" s="46">
        <v>0</v>
      </c>
      <c r="H13" s="46">
        <v>25</v>
      </c>
      <c r="I13" s="46">
        <v>54</v>
      </c>
      <c r="J13" s="46">
        <v>67.290000000000006</v>
      </c>
      <c r="K13" s="46">
        <v>59.22</v>
      </c>
      <c r="L13" s="46">
        <v>0</v>
      </c>
      <c r="M13" s="46">
        <v>0</v>
      </c>
      <c r="N13" s="57">
        <f>SUM(Таблица3[[#This Row],[Столбец4]:[Столбец13]])</f>
        <v>287.60000000000002</v>
      </c>
      <c r="O13" s="57">
        <f>IFERROR(AVERAGE(Таблица3[[#This Row],[Столбец4]:[Столбец13]]),0)</f>
        <v>28.76</v>
      </c>
      <c r="P13" s="59">
        <f>O13-C13</f>
        <v>-21.24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  <c r="ALZ13" s="43"/>
      <c r="AMA13" s="43"/>
      <c r="AMB13" s="43"/>
      <c r="AMC13" s="43"/>
      <c r="AMD13" s="43"/>
      <c r="AME13" s="43"/>
      <c r="AMF13" s="43"/>
      <c r="AMG13" s="43"/>
      <c r="AMH13" s="43"/>
      <c r="AMI13" s="43"/>
      <c r="AMJ13" s="43"/>
      <c r="AMK13" s="43"/>
    </row>
    <row r="14" spans="1:1025" s="44" customFormat="1" ht="12.95" customHeight="1" x14ac:dyDescent="0.25">
      <c r="A14" s="51">
        <v>5</v>
      </c>
      <c r="B14" s="52" t="s">
        <v>160</v>
      </c>
      <c r="C14" s="41">
        <v>20</v>
      </c>
      <c r="D14" s="42">
        <v>0</v>
      </c>
      <c r="E14" s="42">
        <v>0</v>
      </c>
      <c r="F14" s="42">
        <v>0</v>
      </c>
      <c r="G14" s="42">
        <v>12.5</v>
      </c>
      <c r="H14" s="42">
        <v>0</v>
      </c>
      <c r="I14" s="42">
        <v>56.19</v>
      </c>
      <c r="J14" s="42">
        <v>0</v>
      </c>
      <c r="K14" s="42">
        <v>0</v>
      </c>
      <c r="L14" s="42">
        <v>0</v>
      </c>
      <c r="M14" s="42">
        <v>0</v>
      </c>
      <c r="N14" s="57">
        <f>SUM(Таблица3[[#This Row],[Столбец4]:[Столбец13]])</f>
        <v>68.69</v>
      </c>
      <c r="O14" s="57">
        <f>IFERROR(AVERAGE(Таблица3[[#This Row],[Столбец4]:[Столбец13]]),0)</f>
        <v>6.8689999999999998</v>
      </c>
      <c r="P14" s="58">
        <f t="shared" si="0"/>
        <v>-13.131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  <c r="ALZ14" s="43"/>
      <c r="AMA14" s="43"/>
      <c r="AMB14" s="43"/>
      <c r="AMC14" s="43"/>
      <c r="AMD14" s="43"/>
      <c r="AME14" s="43"/>
      <c r="AMF14" s="43"/>
      <c r="AMG14" s="43"/>
      <c r="AMH14" s="43"/>
      <c r="AMI14" s="43"/>
      <c r="AMJ14" s="43"/>
      <c r="AMK14" s="43"/>
    </row>
    <row r="15" spans="1:1025" s="44" customFormat="1" ht="12.95" customHeight="1" x14ac:dyDescent="0.25">
      <c r="A15" s="53"/>
      <c r="B15" s="54" t="s">
        <v>160</v>
      </c>
      <c r="C15" s="45">
        <v>20</v>
      </c>
      <c r="D15" s="46">
        <v>61.2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12.5</v>
      </c>
      <c r="L15" s="46">
        <v>0</v>
      </c>
      <c r="M15" s="46">
        <v>0</v>
      </c>
      <c r="N15" s="57">
        <f>SUM(Таблица3[[#This Row],[Столбец4]:[Столбец13]])</f>
        <v>73.7</v>
      </c>
      <c r="O15" s="57">
        <f>IFERROR(AVERAGE(Таблица3[[#This Row],[Столбец4]:[Столбец13]]),0)</f>
        <v>7.37</v>
      </c>
      <c r="P15" s="59">
        <f>O15-C15</f>
        <v>-12.629999999999999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  <c r="ALZ15" s="43"/>
      <c r="AMA15" s="43"/>
      <c r="AMB15" s="43"/>
      <c r="AMC15" s="43"/>
      <c r="AMD15" s="43"/>
      <c r="AME15" s="43"/>
      <c r="AMF15" s="43"/>
      <c r="AMG15" s="43"/>
      <c r="AMH15" s="43"/>
      <c r="AMI15" s="43"/>
      <c r="AMJ15" s="43"/>
      <c r="AMK15" s="43"/>
    </row>
    <row r="16" spans="1:1025" s="44" customFormat="1" ht="12.95" customHeight="1" x14ac:dyDescent="0.25">
      <c r="A16" s="51">
        <v>6</v>
      </c>
      <c r="B16" s="52" t="s">
        <v>171</v>
      </c>
      <c r="C16" s="41">
        <v>188</v>
      </c>
      <c r="D16" s="42">
        <v>26.7</v>
      </c>
      <c r="E16" s="42">
        <f>40+129.54</f>
        <v>169.54</v>
      </c>
      <c r="F16" s="42">
        <f>50+114.57</f>
        <v>164.57</v>
      </c>
      <c r="G16" s="42">
        <v>75</v>
      </c>
      <c r="H16" s="44">
        <v>0</v>
      </c>
      <c r="I16" s="42">
        <f>30+151.74</f>
        <v>181.74</v>
      </c>
      <c r="J16" s="42">
        <f>25.12+129.54</f>
        <v>154.66</v>
      </c>
      <c r="K16" s="42">
        <f>86.25+154.23</f>
        <v>240.48</v>
      </c>
      <c r="L16" s="42">
        <v>0</v>
      </c>
      <c r="M16" s="42">
        <v>43.12</v>
      </c>
      <c r="N16" s="57">
        <f>SUM(Таблица3[[#This Row],[Столбец4]:[Столбец13]])</f>
        <v>1055.81</v>
      </c>
      <c r="O16" s="57">
        <f>IFERROR(AVERAGE(Таблица3[[#This Row],[Столбец4]:[Столбец13]]),0)</f>
        <v>105.58099999999999</v>
      </c>
      <c r="P16" s="58">
        <f t="shared" si="0"/>
        <v>-82.419000000000011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</row>
    <row r="17" spans="1:1025" s="44" customFormat="1" ht="12.95" customHeight="1" x14ac:dyDescent="0.25">
      <c r="A17" s="53"/>
      <c r="B17" s="54" t="s">
        <v>171</v>
      </c>
      <c r="C17" s="45">
        <v>188</v>
      </c>
      <c r="D17" s="46">
        <v>0</v>
      </c>
      <c r="E17" s="46">
        <v>0</v>
      </c>
      <c r="F17" s="46">
        <f>75+154</f>
        <v>229</v>
      </c>
      <c r="G17" s="46">
        <v>99.92</v>
      </c>
      <c r="H17" s="46">
        <v>58.05</v>
      </c>
      <c r="I17" s="46">
        <v>43.12</v>
      </c>
      <c r="J17" s="46">
        <v>20.05</v>
      </c>
      <c r="K17" s="46">
        <v>75</v>
      </c>
      <c r="L17" s="46">
        <v>50</v>
      </c>
      <c r="M17" s="46">
        <f>112.5+168</f>
        <v>280.5</v>
      </c>
      <c r="N17" s="57">
        <f>SUM(Таблица3[[#This Row],[Столбец4]:[Столбец13]])</f>
        <v>855.6400000000001</v>
      </c>
      <c r="O17" s="57">
        <f>IFERROR(AVERAGE(Таблица3[[#This Row],[Столбец4]:[Столбец13]]),0)</f>
        <v>85.564000000000007</v>
      </c>
      <c r="P17" s="59">
        <f>O17-C17</f>
        <v>-102.43599999999999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</row>
    <row r="18" spans="1:1025" s="44" customFormat="1" ht="12.95" customHeight="1" x14ac:dyDescent="0.25">
      <c r="A18" s="51">
        <v>7</v>
      </c>
      <c r="B18" s="52" t="s">
        <v>268</v>
      </c>
      <c r="C18" s="41">
        <v>320</v>
      </c>
      <c r="D18" s="42">
        <f>100+50+12+15.7+25+1.4+1.36</f>
        <v>205.46</v>
      </c>
      <c r="E18" s="42">
        <f>12.06+21.48+17.6+73.3+12+12.5+16.7</f>
        <v>165.64</v>
      </c>
      <c r="F18" s="42">
        <f>17.6+10+10+14.28+23.28</f>
        <v>75.16</v>
      </c>
      <c r="G18" s="42">
        <f>76.4+10.07+9.75+21.05+25.52+12+12+15.6</f>
        <v>182.39</v>
      </c>
      <c r="H18" s="42">
        <f>47.4+55.2+24.55</f>
        <v>127.14999999999999</v>
      </c>
      <c r="I18" s="42">
        <f>89.7+10.07+9.75+35</f>
        <v>144.52000000000001</v>
      </c>
      <c r="J18" s="42">
        <f>62.4+10+9.75+30+16.63</f>
        <v>128.78</v>
      </c>
      <c r="K18" s="42">
        <f>100+5+12.5+19.32</f>
        <v>136.82</v>
      </c>
      <c r="L18" s="42">
        <f>88+10.7+9.75+11.7+194.04</f>
        <v>314.19</v>
      </c>
      <c r="M18" s="42">
        <v>383.07</v>
      </c>
      <c r="N18" s="57">
        <f>SUM(Таблица3[[#This Row],[Столбец4]:[Столбец13]])</f>
        <v>1863.1799999999998</v>
      </c>
      <c r="O18" s="57">
        <f>IFERROR(AVERAGE(Таблица3[[#This Row],[Столбец4]:[Столбец13]]),0)</f>
        <v>186.31799999999998</v>
      </c>
      <c r="P18" s="58">
        <f t="shared" si="0"/>
        <v>-133.68200000000002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3"/>
      <c r="ALN18" s="43"/>
      <c r="ALO18" s="43"/>
      <c r="ALP18" s="43"/>
      <c r="ALQ18" s="43"/>
      <c r="ALR18" s="43"/>
      <c r="ALS18" s="43"/>
      <c r="ALT18" s="43"/>
      <c r="ALU18" s="43"/>
      <c r="ALV18" s="43"/>
      <c r="ALW18" s="43"/>
      <c r="ALX18" s="43"/>
      <c r="ALY18" s="43"/>
      <c r="ALZ18" s="43"/>
      <c r="AMA18" s="43"/>
      <c r="AMB18" s="43"/>
      <c r="AMC18" s="43"/>
      <c r="AMD18" s="43"/>
      <c r="AME18" s="43"/>
      <c r="AMF18" s="43"/>
      <c r="AMG18" s="43"/>
      <c r="AMH18" s="43"/>
      <c r="AMI18" s="43"/>
      <c r="AMJ18" s="43"/>
      <c r="AMK18" s="43"/>
    </row>
    <row r="19" spans="1:1025" s="44" customFormat="1" ht="12.95" customHeight="1" x14ac:dyDescent="0.25">
      <c r="A19" s="53"/>
      <c r="B19" s="54" t="s">
        <v>268</v>
      </c>
      <c r="C19" s="45">
        <v>320</v>
      </c>
      <c r="D19" s="46">
        <f>57+24.55+5.17+14.2</f>
        <v>100.92</v>
      </c>
      <c r="E19" s="46">
        <f>27.3+50.4+10.7+9.75+2.42+7.8+7.2</f>
        <v>115.57000000000001</v>
      </c>
      <c r="F19" s="46">
        <f>100+5.02+9.75+19.38</f>
        <v>134.15</v>
      </c>
      <c r="G19" s="46">
        <f>48.4+34.4+10+9.75+10.62+7.02+189+3.78</f>
        <v>312.96999999999997</v>
      </c>
      <c r="H19" s="46">
        <f>40.3+54.6+10+9.75+28.89+36+28.08+8.73</f>
        <v>216.35</v>
      </c>
      <c r="I19" s="46">
        <f>100+64+11.32+9.75+1.41+2.73+0.7</f>
        <v>189.90999999999997</v>
      </c>
      <c r="J19" s="46">
        <f>20.2+63.6+11.2+40+10.07+12.27+20+10+24.09</f>
        <v>211.43</v>
      </c>
      <c r="K19" s="46">
        <f>10.07+9.75</f>
        <v>19.82</v>
      </c>
      <c r="L19" s="46">
        <f>83.7+12+10+10+3.56+7.02+189+3.78+10</f>
        <v>329.05999999999995</v>
      </c>
      <c r="M19" s="46">
        <f>10.5+9.75</f>
        <v>20.25</v>
      </c>
      <c r="N19" s="57">
        <f>SUM(Таблица3[[#This Row],[Столбец4]:[Столбец13]])</f>
        <v>1650.4299999999998</v>
      </c>
      <c r="O19" s="57">
        <f>IFERROR(AVERAGE(Таблица3[[#This Row],[Столбец4]:[Столбец13]]),0)</f>
        <v>165.04299999999998</v>
      </c>
      <c r="P19" s="59">
        <f>O19-C19</f>
        <v>-154.95700000000002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</row>
    <row r="20" spans="1:1025" s="44" customFormat="1" ht="12.95" customHeight="1" x14ac:dyDescent="0.25">
      <c r="A20" s="51">
        <v>8</v>
      </c>
      <c r="B20" s="52" t="s">
        <v>267</v>
      </c>
      <c r="C20" s="41">
        <v>185</v>
      </c>
      <c r="D20" s="42">
        <v>150</v>
      </c>
      <c r="E20" s="42">
        <v>150</v>
      </c>
      <c r="F20" s="42">
        <f>24.9+90</f>
        <v>114.9</v>
      </c>
      <c r="G20" s="42">
        <v>249.4</v>
      </c>
      <c r="H20" s="42">
        <f>100+23</f>
        <v>123</v>
      </c>
      <c r="I20" s="42">
        <v>110</v>
      </c>
      <c r="J20" s="42">
        <v>191.6</v>
      </c>
      <c r="K20" s="42">
        <v>176.4</v>
      </c>
      <c r="L20" s="42">
        <v>150</v>
      </c>
      <c r="M20" s="42">
        <v>127.2</v>
      </c>
      <c r="N20" s="57">
        <f>SUM(Таблица3[[#This Row],[Столбец4]:[Столбец13]])</f>
        <v>1542.5</v>
      </c>
      <c r="O20" s="57">
        <f>IFERROR(AVERAGE(Таблица3[[#This Row],[Столбец4]:[Столбец13]]),0)</f>
        <v>154.25</v>
      </c>
      <c r="P20" s="58">
        <f t="shared" si="0"/>
        <v>-30.75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3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  <c r="AMK20" s="43"/>
    </row>
    <row r="21" spans="1:1025" s="44" customFormat="1" ht="12.95" customHeight="1" x14ac:dyDescent="0.25">
      <c r="A21" s="53"/>
      <c r="B21" s="54" t="s">
        <v>267</v>
      </c>
      <c r="C21" s="45">
        <v>185</v>
      </c>
      <c r="D21" s="46">
        <f>38.7+36.9+39.5</f>
        <v>115.1</v>
      </c>
      <c r="E21" s="46">
        <v>22</v>
      </c>
      <c r="F21" s="46">
        <v>30</v>
      </c>
      <c r="G21" s="46">
        <v>20</v>
      </c>
      <c r="H21" s="46">
        <v>20</v>
      </c>
      <c r="I21" s="46">
        <v>20</v>
      </c>
      <c r="J21" s="46">
        <f>49.2+14.4</f>
        <v>63.6</v>
      </c>
      <c r="K21" s="46"/>
      <c r="L21" s="46">
        <v>30</v>
      </c>
      <c r="M21" s="46">
        <v>20</v>
      </c>
      <c r="N21" s="57">
        <f>SUM(Таблица3[[#This Row],[Столбец4]:[Столбец13]])</f>
        <v>340.7</v>
      </c>
      <c r="O21" s="57">
        <f>IFERROR(AVERAGE(Таблица3[[#This Row],[Столбец4]:[Столбец13]]),0)</f>
        <v>37.855555555555554</v>
      </c>
      <c r="P21" s="59">
        <f>O21-C21</f>
        <v>-147.14444444444445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  <c r="ALZ21" s="43"/>
      <c r="AMA21" s="43"/>
      <c r="AMB21" s="43"/>
      <c r="AMC21" s="43"/>
      <c r="AMD21" s="43"/>
      <c r="AME21" s="43"/>
      <c r="AMF21" s="43"/>
      <c r="AMG21" s="43"/>
      <c r="AMH21" s="43"/>
      <c r="AMI21" s="43"/>
      <c r="AMJ21" s="43"/>
      <c r="AMK21" s="43"/>
    </row>
    <row r="22" spans="1:1025" s="44" customFormat="1" ht="12.95" customHeight="1" x14ac:dyDescent="0.25">
      <c r="A22" s="51">
        <v>9</v>
      </c>
      <c r="B22" s="52" t="s">
        <v>266</v>
      </c>
      <c r="C22" s="41">
        <v>20</v>
      </c>
      <c r="D22" s="42">
        <v>20</v>
      </c>
      <c r="E22" s="42">
        <v>20</v>
      </c>
      <c r="F22" s="42">
        <v>0</v>
      </c>
      <c r="G22" s="42">
        <v>5.6</v>
      </c>
      <c r="H22" s="42">
        <v>0</v>
      </c>
      <c r="I22" s="42">
        <v>20</v>
      </c>
      <c r="J22" s="42">
        <v>20</v>
      </c>
      <c r="K22" s="42">
        <v>3.85</v>
      </c>
      <c r="L22" s="42">
        <v>25</v>
      </c>
      <c r="M22" s="42">
        <v>0</v>
      </c>
      <c r="N22" s="57">
        <f>SUM(Таблица3[[#This Row],[Столбец4]:[Столбец13]])</f>
        <v>114.44999999999999</v>
      </c>
      <c r="O22" s="57">
        <f>IFERROR(AVERAGE(Таблица3[[#This Row],[Столбец4]:[Столбец13]]),0)</f>
        <v>11.444999999999999</v>
      </c>
      <c r="P22" s="58">
        <f t="shared" si="0"/>
        <v>-8.5550000000000015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  <c r="AMK22" s="43"/>
    </row>
    <row r="23" spans="1:1025" s="44" customFormat="1" ht="12.95" customHeight="1" x14ac:dyDescent="0.25">
      <c r="A23" s="53"/>
      <c r="B23" s="54" t="s">
        <v>266</v>
      </c>
      <c r="C23" s="45">
        <v>20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20</v>
      </c>
      <c r="L23" s="46">
        <v>0</v>
      </c>
      <c r="M23" s="46">
        <v>0</v>
      </c>
      <c r="N23" s="57">
        <f>SUM(Таблица3[[#This Row],[Столбец4]:[Столбец13]])</f>
        <v>20</v>
      </c>
      <c r="O23" s="57">
        <f>IFERROR(AVERAGE(Таблица3[[#This Row],[Столбец4]:[Столбец13]]),0)</f>
        <v>2</v>
      </c>
      <c r="P23" s="59">
        <f>O23-C23</f>
        <v>-18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  <c r="ALZ23" s="43"/>
      <c r="AMA23" s="43"/>
      <c r="AMB23" s="43"/>
      <c r="AMC23" s="43"/>
      <c r="AMD23" s="43"/>
      <c r="AME23" s="43"/>
      <c r="AMF23" s="43"/>
      <c r="AMG23" s="43"/>
      <c r="AMH23" s="43"/>
      <c r="AMI23" s="43"/>
      <c r="AMJ23" s="43"/>
      <c r="AMK23" s="43"/>
    </row>
    <row r="24" spans="1:1025" s="44" customFormat="1" ht="12.95" customHeight="1" x14ac:dyDescent="0.25">
      <c r="A24" s="51">
        <v>10</v>
      </c>
      <c r="B24" s="52" t="s">
        <v>265</v>
      </c>
      <c r="C24" s="41">
        <v>200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57">
        <f>SUM(Таблица3[[#This Row],[Столбец4]:[Столбец13]])</f>
        <v>0</v>
      </c>
      <c r="O24" s="57">
        <f>IFERROR(AVERAGE(Таблица3[[#This Row],[Столбец4]:[Столбец13]]),0)</f>
        <v>0</v>
      </c>
      <c r="P24" s="58">
        <f t="shared" si="0"/>
        <v>-200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3"/>
      <c r="ALN24" s="43"/>
      <c r="ALO24" s="43"/>
      <c r="ALP24" s="43"/>
      <c r="ALQ24" s="43"/>
      <c r="ALR24" s="43"/>
      <c r="ALS24" s="43"/>
      <c r="ALT24" s="43"/>
      <c r="ALU24" s="43"/>
      <c r="ALV24" s="43"/>
      <c r="ALW24" s="43"/>
      <c r="ALX24" s="43"/>
      <c r="ALY24" s="43"/>
      <c r="ALZ24" s="43"/>
      <c r="AMA24" s="43"/>
      <c r="AMB24" s="43"/>
      <c r="AMC24" s="43"/>
      <c r="AMD24" s="43"/>
      <c r="AME24" s="43"/>
      <c r="AMF24" s="43"/>
      <c r="AMG24" s="43"/>
      <c r="AMH24" s="43"/>
      <c r="AMI24" s="43"/>
      <c r="AMJ24" s="43"/>
      <c r="AMK24" s="43"/>
    </row>
    <row r="25" spans="1:1025" s="44" customFormat="1" ht="12.95" customHeight="1" x14ac:dyDescent="0.25">
      <c r="A25" s="53"/>
      <c r="B25" s="54" t="s">
        <v>265</v>
      </c>
      <c r="C25" s="45">
        <v>200</v>
      </c>
      <c r="D25" s="46">
        <v>0</v>
      </c>
      <c r="E25" s="46">
        <v>200</v>
      </c>
      <c r="F25" s="46">
        <v>0</v>
      </c>
      <c r="G25" s="46">
        <v>200</v>
      </c>
      <c r="H25" s="46">
        <v>0</v>
      </c>
      <c r="I25" s="46">
        <v>0</v>
      </c>
      <c r="J25" s="46">
        <v>200</v>
      </c>
      <c r="K25" s="46">
        <v>200</v>
      </c>
      <c r="L25" s="46">
        <v>0</v>
      </c>
      <c r="M25" s="46">
        <v>200</v>
      </c>
      <c r="N25" s="57">
        <f>SUM(Таблица3[[#This Row],[Столбец4]:[Столбец13]])</f>
        <v>1000</v>
      </c>
      <c r="O25" s="57">
        <f>IFERROR(AVERAGE(Таблица3[[#This Row],[Столбец4]:[Столбец13]]),0)</f>
        <v>100</v>
      </c>
      <c r="P25" s="59">
        <f>O25-C25</f>
        <v>-100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  <c r="ALZ25" s="43"/>
      <c r="AMA25" s="43"/>
      <c r="AMB25" s="43"/>
      <c r="AMC25" s="43"/>
      <c r="AMD25" s="43"/>
      <c r="AME25" s="43"/>
      <c r="AMF25" s="43"/>
      <c r="AMG25" s="43"/>
      <c r="AMH25" s="43"/>
      <c r="AMI25" s="43"/>
      <c r="AMJ25" s="43"/>
      <c r="AMK25" s="43"/>
    </row>
    <row r="26" spans="1:1025" s="44" customFormat="1" ht="12.95" customHeight="1" x14ac:dyDescent="0.25">
      <c r="A26" s="51">
        <v>11</v>
      </c>
      <c r="B26" s="52" t="s">
        <v>264</v>
      </c>
      <c r="C26" s="41">
        <v>78</v>
      </c>
      <c r="D26" s="42">
        <v>0</v>
      </c>
      <c r="E26" s="42">
        <v>127.27</v>
      </c>
      <c r="F26" s="42">
        <v>0</v>
      </c>
      <c r="G26" s="42">
        <v>130.94999999999999</v>
      </c>
      <c r="H26" s="42">
        <v>0</v>
      </c>
      <c r="I26" s="42">
        <v>0</v>
      </c>
      <c r="J26" s="42">
        <v>127.17</v>
      </c>
      <c r="K26" s="42">
        <v>91.72</v>
      </c>
      <c r="L26" s="42">
        <v>80</v>
      </c>
      <c r="M26" s="42">
        <v>82</v>
      </c>
      <c r="N26" s="57">
        <f>SUM(Таблица3[[#This Row],[Столбец4]:[Столбец13]])</f>
        <v>639.11</v>
      </c>
      <c r="O26" s="57">
        <f>IFERROR(AVERAGE(Таблица3[[#This Row],[Столбец4]:[Столбец13]]),0)</f>
        <v>63.911000000000001</v>
      </c>
      <c r="P26" s="58">
        <f t="shared" si="0"/>
        <v>-14.088999999999999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3"/>
      <c r="ALN26" s="43"/>
      <c r="ALO26" s="43"/>
      <c r="ALP26" s="43"/>
      <c r="ALQ26" s="43"/>
      <c r="ALR26" s="43"/>
      <c r="ALS26" s="43"/>
      <c r="ALT26" s="43"/>
      <c r="ALU26" s="43"/>
      <c r="ALV26" s="43"/>
      <c r="ALW26" s="43"/>
      <c r="ALX26" s="43"/>
      <c r="ALY26" s="43"/>
      <c r="ALZ26" s="43"/>
      <c r="AMA26" s="43"/>
      <c r="AMB26" s="43"/>
      <c r="AMC26" s="43"/>
      <c r="AMD26" s="43"/>
      <c r="AME26" s="43"/>
      <c r="AMF26" s="43"/>
      <c r="AMG26" s="43"/>
      <c r="AMH26" s="43"/>
      <c r="AMI26" s="43"/>
      <c r="AMJ26" s="43"/>
      <c r="AMK26" s="43"/>
    </row>
    <row r="27" spans="1:1025" s="44" customFormat="1" ht="12.95" customHeight="1" x14ac:dyDescent="0.25">
      <c r="A27" s="53"/>
      <c r="B27" s="54" t="s">
        <v>264</v>
      </c>
      <c r="C27" s="45">
        <v>78</v>
      </c>
      <c r="D27" s="46">
        <v>111</v>
      </c>
      <c r="E27" s="46">
        <v>0</v>
      </c>
      <c r="F27" s="46">
        <v>91.53</v>
      </c>
      <c r="G27" s="46">
        <v>29.05</v>
      </c>
      <c r="H27" s="46">
        <v>82</v>
      </c>
      <c r="I27" s="46">
        <v>144.28</v>
      </c>
      <c r="J27" s="46">
        <v>82</v>
      </c>
      <c r="K27" s="46">
        <v>75</v>
      </c>
      <c r="L27" s="46">
        <v>0</v>
      </c>
      <c r="M27" s="46">
        <v>102.3</v>
      </c>
      <c r="N27" s="57">
        <f>SUM(Таблица3[[#This Row],[Столбец4]:[Столбец13]])</f>
        <v>717.16</v>
      </c>
      <c r="O27" s="57">
        <f>IFERROR(AVERAGE(Таблица3[[#This Row],[Столбец4]:[Столбец13]]),0)</f>
        <v>71.715999999999994</v>
      </c>
      <c r="P27" s="59">
        <f>O27-C27</f>
        <v>-6.284000000000006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  <c r="ALV27" s="43"/>
      <c r="ALW27" s="43"/>
      <c r="ALX27" s="43"/>
      <c r="ALY27" s="43"/>
      <c r="ALZ27" s="43"/>
      <c r="AMA27" s="43"/>
      <c r="AMB27" s="43"/>
      <c r="AMC27" s="43"/>
      <c r="AMD27" s="43"/>
      <c r="AME27" s="43"/>
      <c r="AMF27" s="43"/>
      <c r="AMG27" s="43"/>
      <c r="AMH27" s="43"/>
      <c r="AMI27" s="43"/>
      <c r="AMJ27" s="43"/>
      <c r="AMK27" s="43"/>
    </row>
    <row r="28" spans="1:1025" s="44" customFormat="1" ht="12.95" customHeight="1" x14ac:dyDescent="0.25">
      <c r="A28" s="51">
        <v>12</v>
      </c>
      <c r="B28" s="52" t="s">
        <v>263</v>
      </c>
      <c r="C28" s="41">
        <v>53</v>
      </c>
      <c r="D28" s="42">
        <v>94.28</v>
      </c>
      <c r="E28" s="42">
        <v>0</v>
      </c>
      <c r="F28" s="42">
        <v>120</v>
      </c>
      <c r="G28" s="42">
        <v>0</v>
      </c>
      <c r="H28" s="42">
        <f>29.62+75.71</f>
        <v>105.33</v>
      </c>
      <c r="I28" s="42">
        <v>65.709999999999994</v>
      </c>
      <c r="J28" s="42">
        <v>0</v>
      </c>
      <c r="K28" s="42">
        <v>0</v>
      </c>
      <c r="L28" s="42">
        <v>0</v>
      </c>
      <c r="M28" s="42">
        <v>83.33</v>
      </c>
      <c r="N28" s="57">
        <f>SUM(Таблица3[[#This Row],[Столбец4]:[Столбец13]])</f>
        <v>468.65</v>
      </c>
      <c r="O28" s="57">
        <f>IFERROR(AVERAGE(Таблица3[[#This Row],[Столбец4]:[Столбец13]]),0)</f>
        <v>46.864999999999995</v>
      </c>
      <c r="P28" s="58">
        <f t="shared" si="0"/>
        <v>-6.1350000000000051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  <c r="ALV28" s="43"/>
      <c r="ALW28" s="43"/>
      <c r="ALX28" s="43"/>
      <c r="ALY28" s="43"/>
      <c r="ALZ28" s="43"/>
      <c r="AMA28" s="43"/>
      <c r="AMB28" s="43"/>
      <c r="AMC28" s="43"/>
      <c r="AMD28" s="43"/>
      <c r="AME28" s="43"/>
      <c r="AMF28" s="43"/>
      <c r="AMG28" s="43"/>
      <c r="AMH28" s="43"/>
      <c r="AMI28" s="43"/>
      <c r="AMJ28" s="43"/>
      <c r="AMK28" s="43"/>
    </row>
    <row r="29" spans="1:1025" s="44" customFormat="1" ht="12.95" customHeight="1" x14ac:dyDescent="0.25">
      <c r="A29" s="53"/>
      <c r="B29" s="54" t="s">
        <v>263</v>
      </c>
      <c r="C29" s="45">
        <v>53</v>
      </c>
      <c r="D29" s="46">
        <v>29.62</v>
      </c>
      <c r="E29" s="46">
        <v>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100</v>
      </c>
      <c r="M29" s="46">
        <v>0</v>
      </c>
      <c r="N29" s="57">
        <f>SUM(Таблица3[[#This Row],[Столбец4]:[Столбец13]])</f>
        <v>199.62</v>
      </c>
      <c r="O29" s="57">
        <f>IFERROR(AVERAGE(Таблица3[[#This Row],[Столбец4]:[Столбец13]]),0)</f>
        <v>19.962</v>
      </c>
      <c r="P29" s="59">
        <f>O29-C29</f>
        <v>-33.037999999999997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</row>
    <row r="30" spans="1:1025" s="44" customFormat="1" ht="12.95" customHeight="1" x14ac:dyDescent="0.25">
      <c r="A30" s="51">
        <v>13</v>
      </c>
      <c r="B30" s="52" t="s">
        <v>262</v>
      </c>
      <c r="C30" s="41">
        <v>77</v>
      </c>
      <c r="D30" s="42">
        <v>0</v>
      </c>
      <c r="E30" s="42">
        <v>72.599999999999994</v>
      </c>
      <c r="F30" s="42">
        <v>0</v>
      </c>
      <c r="G30" s="42">
        <v>0</v>
      </c>
      <c r="H30" s="42">
        <v>0</v>
      </c>
      <c r="I30" s="42">
        <v>74.599999999999994</v>
      </c>
      <c r="J30" s="42">
        <v>0</v>
      </c>
      <c r="K30" s="42">
        <v>30.1</v>
      </c>
      <c r="L30" s="42">
        <v>0</v>
      </c>
      <c r="M30" s="42">
        <v>0</v>
      </c>
      <c r="N30" s="57">
        <f>SUM(Таблица3[[#This Row],[Столбец4]:[Столбец13]])</f>
        <v>177.29999999999998</v>
      </c>
      <c r="O30" s="57">
        <f>IFERROR(AVERAGE(Таблица3[[#This Row],[Столбец4]:[Столбец13]]),0)</f>
        <v>17.729999999999997</v>
      </c>
      <c r="P30" s="58">
        <f t="shared" si="0"/>
        <v>-59.27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</row>
    <row r="31" spans="1:1025" s="44" customFormat="1" ht="12.95" customHeight="1" x14ac:dyDescent="0.25">
      <c r="A31" s="53"/>
      <c r="B31" s="54" t="s">
        <v>262</v>
      </c>
      <c r="C31" s="45">
        <v>77</v>
      </c>
      <c r="D31" s="46">
        <v>0</v>
      </c>
      <c r="E31" s="46">
        <v>0</v>
      </c>
      <c r="F31" s="46">
        <v>0</v>
      </c>
      <c r="G31" s="46">
        <v>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54.55</v>
      </c>
      <c r="N31" s="57">
        <f>SUM(Таблица3[[#This Row],[Столбец4]:[Столбец13]])</f>
        <v>127.55</v>
      </c>
      <c r="O31" s="57">
        <f>IFERROR(AVERAGE(Таблица3[[#This Row],[Столбец4]:[Столбец13]]),0)</f>
        <v>12.754999999999999</v>
      </c>
      <c r="P31" s="59">
        <f>O31-C31</f>
        <v>-64.245000000000005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</row>
    <row r="32" spans="1:1025" s="44" customFormat="1" ht="12.95" customHeight="1" x14ac:dyDescent="0.25">
      <c r="A32" s="51">
        <v>14</v>
      </c>
      <c r="B32" s="52" t="s">
        <v>261</v>
      </c>
      <c r="C32" s="41">
        <v>19.600000000000001</v>
      </c>
      <c r="D32" s="42">
        <v>0</v>
      </c>
      <c r="E32" s="42">
        <v>0</v>
      </c>
      <c r="F32" s="42">
        <v>0</v>
      </c>
      <c r="G32" s="42">
        <v>15</v>
      </c>
      <c r="H32" s="42">
        <v>0</v>
      </c>
      <c r="I32" s="42">
        <v>0</v>
      </c>
      <c r="J32" s="42">
        <v>15</v>
      </c>
      <c r="K32" s="42">
        <v>0</v>
      </c>
      <c r="L32" s="42">
        <v>0</v>
      </c>
      <c r="M32" s="42">
        <v>0</v>
      </c>
      <c r="N32" s="57">
        <f>SUM(Таблица3[[#This Row],[Столбец4]:[Столбец13]])</f>
        <v>30</v>
      </c>
      <c r="O32" s="57">
        <f>IFERROR(AVERAGE(Таблица3[[#This Row],[Столбец4]:[Столбец13]]),0)</f>
        <v>3</v>
      </c>
      <c r="P32" s="58">
        <f t="shared" si="0"/>
        <v>-16.600000000000001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  <c r="ALZ32" s="43"/>
      <c r="AMA32" s="43"/>
      <c r="AMB32" s="43"/>
      <c r="AMC32" s="43"/>
      <c r="AMD32" s="43"/>
      <c r="AME32" s="43"/>
      <c r="AMF32" s="43"/>
      <c r="AMG32" s="43"/>
      <c r="AMH32" s="43"/>
      <c r="AMI32" s="43"/>
      <c r="AMJ32" s="43"/>
      <c r="AMK32" s="43"/>
    </row>
    <row r="33" spans="1:1025" s="44" customFormat="1" ht="12.95" customHeight="1" x14ac:dyDescent="0.25">
      <c r="A33" s="53"/>
      <c r="B33" s="54" t="s">
        <v>261</v>
      </c>
      <c r="C33" s="45">
        <v>19.600000000000001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57">
        <f>SUM(Таблица3[[#This Row],[Столбец4]:[Столбец13]])</f>
        <v>0</v>
      </c>
      <c r="O33" s="57">
        <f>IFERROR(AVERAGE(Таблица3[[#This Row],[Столбец4]:[Столбец13]]),0)</f>
        <v>0</v>
      </c>
      <c r="P33" s="59">
        <f>O33-C33</f>
        <v>-19.600000000000001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  <c r="ALZ33" s="43"/>
      <c r="AMA33" s="43"/>
      <c r="AMB33" s="43"/>
      <c r="AMC33" s="43"/>
      <c r="AMD33" s="43"/>
      <c r="AME33" s="43"/>
      <c r="AMF33" s="43"/>
      <c r="AMG33" s="43"/>
      <c r="AMH33" s="43"/>
      <c r="AMI33" s="43"/>
      <c r="AMJ33" s="43"/>
      <c r="AMK33" s="43"/>
    </row>
    <row r="34" spans="1:1025" s="44" customFormat="1" ht="12.95" customHeight="1" x14ac:dyDescent="0.25">
      <c r="A34" s="51">
        <v>15</v>
      </c>
      <c r="B34" s="52" t="s">
        <v>134</v>
      </c>
      <c r="C34" s="41">
        <v>300</v>
      </c>
      <c r="D34" s="42">
        <f>147.5+100+10.75</f>
        <v>258.25</v>
      </c>
      <c r="E34" s="42">
        <v>0</v>
      </c>
      <c r="F34" s="42">
        <v>100</v>
      </c>
      <c r="G34" s="42">
        <f>75+38</f>
        <v>113</v>
      </c>
      <c r="H34" s="42">
        <f>132.5+50+25.71</f>
        <v>208.21</v>
      </c>
      <c r="I34" s="42">
        <f>21.85+21.34+28+27</f>
        <v>98.19</v>
      </c>
      <c r="J34" s="42">
        <f>112.5+100</f>
        <v>212.5</v>
      </c>
      <c r="K34" s="42">
        <v>50</v>
      </c>
      <c r="L34" s="42">
        <f>137.5+100+35</f>
        <v>272.5</v>
      </c>
      <c r="M34" s="42">
        <v>23</v>
      </c>
      <c r="N34" s="57">
        <f>SUM(Таблица3[[#This Row],[Столбец4]:[Столбец13]])</f>
        <v>1335.65</v>
      </c>
      <c r="O34" s="57">
        <f>IFERROR(AVERAGE(Таблица3[[#This Row],[Столбец4]:[Столбец13]]),0)</f>
        <v>133.565</v>
      </c>
      <c r="P34" s="58">
        <f t="shared" si="0"/>
        <v>-166.435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  <c r="ALZ34" s="43"/>
      <c r="AMA34" s="43"/>
      <c r="AMB34" s="43"/>
      <c r="AMC34" s="43"/>
      <c r="AMD34" s="43"/>
      <c r="AME34" s="43"/>
      <c r="AMF34" s="43"/>
      <c r="AMG34" s="43"/>
      <c r="AMH34" s="43"/>
      <c r="AMI34" s="43"/>
      <c r="AMJ34" s="43"/>
      <c r="AMK34" s="43"/>
    </row>
    <row r="35" spans="1:1025" s="44" customFormat="1" ht="12.95" customHeight="1" x14ac:dyDescent="0.25">
      <c r="A35" s="53"/>
      <c r="B35" s="54" t="s">
        <v>134</v>
      </c>
      <c r="C35" s="45">
        <v>300</v>
      </c>
      <c r="D35" s="46">
        <v>200</v>
      </c>
      <c r="E35" s="46">
        <v>0</v>
      </c>
      <c r="F35" s="46">
        <v>0</v>
      </c>
      <c r="G35" s="46">
        <v>30</v>
      </c>
      <c r="H35" s="46">
        <v>41</v>
      </c>
      <c r="I35" s="46">
        <v>200</v>
      </c>
      <c r="J35" s="46">
        <v>0</v>
      </c>
      <c r="K35" s="46">
        <v>0</v>
      </c>
      <c r="L35" s="46">
        <v>0</v>
      </c>
      <c r="M35" s="46">
        <v>30</v>
      </c>
      <c r="N35" s="57">
        <f>SUM(Таблица3[[#This Row],[Столбец4]:[Столбец13]])</f>
        <v>501</v>
      </c>
      <c r="O35" s="57">
        <f>IFERROR(AVERAGE(Таблица3[[#This Row],[Столбец4]:[Столбец13]]),0)</f>
        <v>50.1</v>
      </c>
      <c r="P35" s="59">
        <f>O35-C35</f>
        <v>-249.9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3"/>
      <c r="ALN35" s="43"/>
      <c r="ALO35" s="43"/>
      <c r="ALP35" s="43"/>
      <c r="ALQ35" s="43"/>
      <c r="ALR35" s="43"/>
      <c r="ALS35" s="43"/>
      <c r="ALT35" s="43"/>
      <c r="ALU35" s="43"/>
      <c r="ALV35" s="43"/>
      <c r="ALW35" s="43"/>
      <c r="ALX35" s="43"/>
      <c r="ALY35" s="43"/>
      <c r="ALZ35" s="43"/>
      <c r="AMA35" s="43"/>
      <c r="AMB35" s="43"/>
      <c r="AMC35" s="43"/>
      <c r="AMD35" s="43"/>
      <c r="AME35" s="43"/>
      <c r="AMF35" s="43"/>
      <c r="AMG35" s="43"/>
      <c r="AMH35" s="43"/>
      <c r="AMI35" s="43"/>
      <c r="AMJ35" s="43"/>
      <c r="AMK35" s="43"/>
    </row>
    <row r="36" spans="1:1025" s="44" customFormat="1" ht="12.95" customHeight="1" x14ac:dyDescent="0.25">
      <c r="A36" s="51">
        <v>16</v>
      </c>
      <c r="B36" s="52" t="s">
        <v>260</v>
      </c>
      <c r="C36" s="41">
        <v>180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57">
        <f>SUM(Таблица3[[#This Row],[Столбец4]:[Столбец13]])</f>
        <v>0</v>
      </c>
      <c r="O36" s="57">
        <f>IFERROR(AVERAGE(Таблица3[[#This Row],[Столбец4]:[Столбец13]]),0)</f>
        <v>0</v>
      </c>
      <c r="P36" s="58">
        <f t="shared" si="0"/>
        <v>-180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3"/>
      <c r="ALN36" s="43"/>
      <c r="ALO36" s="43"/>
      <c r="ALP36" s="43"/>
      <c r="ALQ36" s="43"/>
      <c r="ALR36" s="43"/>
      <c r="ALS36" s="43"/>
      <c r="ALT36" s="43"/>
      <c r="ALU36" s="43"/>
      <c r="ALV36" s="43"/>
      <c r="ALW36" s="43"/>
      <c r="ALX36" s="43"/>
      <c r="ALY36" s="43"/>
      <c r="ALZ36" s="43"/>
      <c r="AMA36" s="43"/>
      <c r="AMB36" s="43"/>
      <c r="AMC36" s="43"/>
      <c r="AMD36" s="43"/>
      <c r="AME36" s="43"/>
      <c r="AMF36" s="43"/>
      <c r="AMG36" s="43"/>
      <c r="AMH36" s="43"/>
      <c r="AMI36" s="43"/>
      <c r="AMJ36" s="43"/>
      <c r="AMK36" s="43"/>
    </row>
    <row r="37" spans="1:1025" s="44" customFormat="1" ht="12.95" customHeight="1" x14ac:dyDescent="0.25">
      <c r="A37" s="53"/>
      <c r="B37" s="54" t="s">
        <v>260</v>
      </c>
      <c r="C37" s="45">
        <v>180</v>
      </c>
      <c r="D37" s="46">
        <v>0</v>
      </c>
      <c r="E37" s="46">
        <v>0</v>
      </c>
      <c r="F37" s="46">
        <v>200</v>
      </c>
      <c r="G37" s="46">
        <v>0</v>
      </c>
      <c r="H37" s="46">
        <v>200</v>
      </c>
      <c r="I37" s="46">
        <v>0</v>
      </c>
      <c r="J37" s="46">
        <v>0</v>
      </c>
      <c r="K37" s="46">
        <v>0</v>
      </c>
      <c r="L37" s="46">
        <v>200</v>
      </c>
      <c r="M37" s="46">
        <v>0</v>
      </c>
      <c r="N37" s="57">
        <f>SUM(Таблица3[[#This Row],[Столбец4]:[Столбец13]])</f>
        <v>600</v>
      </c>
      <c r="O37" s="57">
        <f>IFERROR(AVERAGE(Таблица3[[#This Row],[Столбец4]:[Столбец13]]),0)</f>
        <v>60</v>
      </c>
      <c r="P37" s="59">
        <f>O37-C37</f>
        <v>-120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  <c r="ALZ37" s="43"/>
      <c r="AMA37" s="43"/>
      <c r="AMB37" s="43"/>
      <c r="AMC37" s="43"/>
      <c r="AMD37" s="43"/>
      <c r="AME37" s="43"/>
      <c r="AMF37" s="43"/>
      <c r="AMG37" s="43"/>
      <c r="AMH37" s="43"/>
      <c r="AMI37" s="43"/>
      <c r="AMJ37" s="43"/>
      <c r="AMK37" s="43"/>
    </row>
    <row r="38" spans="1:1025" s="44" customFormat="1" ht="12.95" customHeight="1" x14ac:dyDescent="0.25">
      <c r="A38" s="51">
        <v>17</v>
      </c>
      <c r="B38" s="52" t="s">
        <v>183</v>
      </c>
      <c r="C38" s="41">
        <v>60</v>
      </c>
      <c r="D38" s="42">
        <v>0</v>
      </c>
      <c r="E38" s="42">
        <v>0</v>
      </c>
      <c r="F38" s="42">
        <v>186.66</v>
      </c>
      <c r="G38" s="42">
        <v>0</v>
      </c>
      <c r="H38" s="42">
        <v>0</v>
      </c>
      <c r="I38" s="42">
        <v>0</v>
      </c>
      <c r="J38" s="42">
        <v>0</v>
      </c>
      <c r="K38" s="42">
        <v>186.66</v>
      </c>
      <c r="L38" s="42">
        <v>0</v>
      </c>
      <c r="M38" s="42">
        <v>0</v>
      </c>
      <c r="N38" s="57">
        <f>SUM(Таблица3[[#This Row],[Столбец4]:[Столбец13]])</f>
        <v>373.32</v>
      </c>
      <c r="O38" s="57">
        <f>IFERROR(AVERAGE(Таблица3[[#This Row],[Столбец4]:[Столбец13]]),0)</f>
        <v>37.332000000000001</v>
      </c>
      <c r="P38" s="58">
        <f t="shared" si="0"/>
        <v>-22.667999999999999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  <c r="AMJ38" s="43"/>
      <c r="AMK38" s="43"/>
    </row>
    <row r="39" spans="1:1025" s="44" customFormat="1" ht="12.95" customHeight="1" x14ac:dyDescent="0.25">
      <c r="A39" s="53"/>
      <c r="B39" s="54" t="s">
        <v>183</v>
      </c>
      <c r="C39" s="45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180</v>
      </c>
      <c r="I39" s="46">
        <v>0</v>
      </c>
      <c r="J39" s="46">
        <v>30</v>
      </c>
      <c r="K39" s="46">
        <v>0</v>
      </c>
      <c r="L39" s="46">
        <v>0</v>
      </c>
      <c r="M39" s="46">
        <v>0</v>
      </c>
      <c r="N39" s="57">
        <f>SUM(Таблица3[[#This Row],[Столбец4]:[Столбец13]])</f>
        <v>210</v>
      </c>
      <c r="O39" s="57">
        <f>IFERROR(AVERAGE(Таблица3[[#This Row],[Столбец4]:[Столбец13]]),0)</f>
        <v>21</v>
      </c>
      <c r="P39" s="59">
        <f>O39-C39</f>
        <v>-39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  <c r="ALZ39" s="43"/>
      <c r="AMA39" s="43"/>
      <c r="AMB39" s="43"/>
      <c r="AMC39" s="43"/>
      <c r="AMD39" s="43"/>
      <c r="AME39" s="43"/>
      <c r="AMF39" s="43"/>
      <c r="AMG39" s="43"/>
      <c r="AMH39" s="43"/>
      <c r="AMI39" s="43"/>
      <c r="AMJ39" s="43"/>
      <c r="AMK39" s="43"/>
    </row>
    <row r="40" spans="1:1025" s="44" customFormat="1" ht="12.95" customHeight="1" x14ac:dyDescent="0.25">
      <c r="A40" s="51">
        <v>18</v>
      </c>
      <c r="B40" s="52" t="s">
        <v>259</v>
      </c>
      <c r="C40" s="41">
        <v>11.8</v>
      </c>
      <c r="D40" s="42">
        <v>20</v>
      </c>
      <c r="E40" s="42">
        <v>0</v>
      </c>
      <c r="F40" s="42">
        <v>0</v>
      </c>
      <c r="G40" s="42">
        <v>44.4</v>
      </c>
      <c r="H40" s="42">
        <v>20</v>
      </c>
      <c r="I40" s="42">
        <v>6</v>
      </c>
      <c r="J40" s="42"/>
      <c r="K40" s="42"/>
      <c r="L40" s="42">
        <v>7.7</v>
      </c>
      <c r="M40" s="42">
        <v>0</v>
      </c>
      <c r="N40" s="57">
        <f>SUM(Таблица3[[#This Row],[Столбец4]:[Столбец13]])</f>
        <v>98.100000000000009</v>
      </c>
      <c r="O40" s="57">
        <f>IFERROR(AVERAGE(Таблица3[[#This Row],[Столбец4]:[Столбец13]]),0)</f>
        <v>12.262500000000001</v>
      </c>
      <c r="P40" s="58">
        <f t="shared" si="0"/>
        <v>0.46250000000000036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3"/>
      <c r="ALN40" s="43"/>
      <c r="ALO40" s="43"/>
      <c r="ALP40" s="43"/>
      <c r="ALQ40" s="43"/>
      <c r="ALR40" s="43"/>
      <c r="ALS40" s="43"/>
      <c r="ALT40" s="43"/>
      <c r="ALU40" s="43"/>
      <c r="ALV40" s="43"/>
      <c r="ALW40" s="43"/>
      <c r="ALX40" s="43"/>
      <c r="ALY40" s="43"/>
      <c r="ALZ40" s="43"/>
      <c r="AMA40" s="43"/>
      <c r="AMB40" s="43"/>
      <c r="AMC40" s="43"/>
      <c r="AMD40" s="43"/>
      <c r="AME40" s="43"/>
      <c r="AMF40" s="43"/>
      <c r="AMG40" s="43"/>
      <c r="AMH40" s="43"/>
      <c r="AMI40" s="43"/>
      <c r="AMJ40" s="43"/>
      <c r="AMK40" s="43"/>
    </row>
    <row r="41" spans="1:1025" s="44" customFormat="1" ht="12.95" customHeight="1" x14ac:dyDescent="0.25">
      <c r="A41" s="53"/>
      <c r="B41" s="54" t="s">
        <v>259</v>
      </c>
      <c r="C41" s="45">
        <v>11.8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7">
        <f>SUM(Таблица3[[#This Row],[Столбец4]:[Столбец13]])</f>
        <v>0</v>
      </c>
      <c r="O41" s="57">
        <f>IFERROR(AVERAGE(Таблица3[[#This Row],[Столбец4]:[Столбец13]]),0)</f>
        <v>0</v>
      </c>
      <c r="P41" s="59">
        <f>O41-C41</f>
        <v>-11.8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3"/>
      <c r="ALN41" s="43"/>
      <c r="ALO41" s="43"/>
      <c r="ALP41" s="43"/>
      <c r="ALQ41" s="43"/>
      <c r="ALR41" s="43"/>
      <c r="ALS41" s="43"/>
      <c r="ALT41" s="43"/>
      <c r="ALU41" s="43"/>
      <c r="ALV41" s="43"/>
      <c r="ALW41" s="43"/>
      <c r="ALX41" s="43"/>
      <c r="ALY41" s="43"/>
      <c r="ALZ41" s="43"/>
      <c r="AMA41" s="43"/>
      <c r="AMB41" s="43"/>
      <c r="AMC41" s="43"/>
      <c r="AMD41" s="43"/>
      <c r="AME41" s="43"/>
      <c r="AMF41" s="43"/>
      <c r="AMG41" s="43"/>
      <c r="AMH41" s="43"/>
      <c r="AMI41" s="43"/>
      <c r="AMJ41" s="43"/>
      <c r="AMK41" s="43"/>
    </row>
    <row r="42" spans="1:1025" s="44" customFormat="1" ht="12.95" customHeight="1" x14ac:dyDescent="0.25">
      <c r="A42" s="51">
        <v>19</v>
      </c>
      <c r="B42" s="52" t="s">
        <v>140</v>
      </c>
      <c r="C42" s="41">
        <v>10</v>
      </c>
      <c r="D42" s="42">
        <v>12.5</v>
      </c>
      <c r="E42" s="42">
        <f>25+12.5</f>
        <v>37.5</v>
      </c>
      <c r="F42" s="42">
        <v>6.6</v>
      </c>
      <c r="G42" s="42">
        <v>0</v>
      </c>
      <c r="H42" s="42">
        <v>0</v>
      </c>
      <c r="I42" s="42">
        <v>0</v>
      </c>
      <c r="J42" s="42">
        <v>10</v>
      </c>
      <c r="K42" s="42">
        <v>6.6</v>
      </c>
      <c r="L42" s="42">
        <v>0</v>
      </c>
      <c r="M42" s="42">
        <v>15</v>
      </c>
      <c r="N42" s="57">
        <f>SUM(Таблица3[[#This Row],[Столбец4]:[Столбец13]])</f>
        <v>88.199999999999989</v>
      </c>
      <c r="O42" s="57">
        <f>IFERROR(AVERAGE(Таблица3[[#This Row],[Столбец4]:[Столбец13]]),0)</f>
        <v>8.8199999999999985</v>
      </c>
      <c r="P42" s="58">
        <f t="shared" si="0"/>
        <v>-1.1800000000000015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3"/>
      <c r="ALN42" s="43"/>
      <c r="ALO42" s="43"/>
      <c r="ALP42" s="43"/>
      <c r="ALQ42" s="43"/>
      <c r="ALR42" s="43"/>
      <c r="ALS42" s="43"/>
      <c r="ALT42" s="43"/>
      <c r="ALU42" s="43"/>
      <c r="ALV42" s="43"/>
      <c r="ALW42" s="43"/>
      <c r="ALX42" s="43"/>
      <c r="ALY42" s="43"/>
      <c r="ALZ42" s="43"/>
      <c r="AMA42" s="43"/>
      <c r="AMB42" s="43"/>
      <c r="AMC42" s="43"/>
      <c r="AMD42" s="43"/>
      <c r="AME42" s="43"/>
      <c r="AMF42" s="43"/>
      <c r="AMG42" s="43"/>
      <c r="AMH42" s="43"/>
      <c r="AMI42" s="43"/>
      <c r="AMJ42" s="43"/>
      <c r="AMK42" s="43"/>
    </row>
    <row r="43" spans="1:1025" s="44" customFormat="1" ht="12.95" customHeight="1" x14ac:dyDescent="0.25">
      <c r="A43" s="53"/>
      <c r="B43" s="54" t="s">
        <v>140</v>
      </c>
      <c r="C43" s="45">
        <v>10</v>
      </c>
      <c r="D43" s="46">
        <v>0</v>
      </c>
      <c r="E43" s="46">
        <v>5</v>
      </c>
      <c r="F43" s="46">
        <v>12.5</v>
      </c>
      <c r="G43" s="46">
        <v>0</v>
      </c>
      <c r="H43" s="46">
        <f>27+6.66</f>
        <v>33.659999999999997</v>
      </c>
      <c r="I43" s="46">
        <v>15</v>
      </c>
      <c r="J43" s="46">
        <v>12.5</v>
      </c>
      <c r="K43" s="46">
        <v>0</v>
      </c>
      <c r="L43" s="46">
        <v>0</v>
      </c>
      <c r="M43" s="46">
        <v>19.91</v>
      </c>
      <c r="N43" s="57">
        <f>SUM(Таблица3[[#This Row],[Столбец4]:[Столбец13]])</f>
        <v>98.57</v>
      </c>
      <c r="O43" s="57">
        <f>IFERROR(AVERAGE(Таблица3[[#This Row],[Столбец4]:[Столбец13]]),0)</f>
        <v>9.8569999999999993</v>
      </c>
      <c r="P43" s="59">
        <f>O43-C43</f>
        <v>-0.14300000000000068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3"/>
      <c r="ALN43" s="43"/>
      <c r="ALO43" s="43"/>
      <c r="ALP43" s="43"/>
      <c r="ALQ43" s="43"/>
      <c r="ALR43" s="43"/>
      <c r="ALS43" s="43"/>
      <c r="ALT43" s="43"/>
      <c r="ALU43" s="43"/>
      <c r="ALV43" s="43"/>
      <c r="ALW43" s="43"/>
      <c r="ALX43" s="43"/>
      <c r="ALY43" s="43"/>
      <c r="ALZ43" s="43"/>
      <c r="AMA43" s="43"/>
      <c r="AMB43" s="43"/>
      <c r="AMC43" s="43"/>
      <c r="AMD43" s="43"/>
      <c r="AME43" s="43"/>
      <c r="AMF43" s="43"/>
      <c r="AMG43" s="43"/>
      <c r="AMH43" s="43"/>
      <c r="AMI43" s="43"/>
      <c r="AMJ43" s="43"/>
      <c r="AMK43" s="43"/>
    </row>
    <row r="44" spans="1:1025" s="44" customFormat="1" ht="12.95" customHeight="1" x14ac:dyDescent="0.25">
      <c r="A44" s="51">
        <v>20</v>
      </c>
      <c r="B44" s="52" t="s">
        <v>131</v>
      </c>
      <c r="C44" s="41">
        <v>35</v>
      </c>
      <c r="D44" s="42">
        <f>6.25+5+4+4.1+7.2</f>
        <v>26.55</v>
      </c>
      <c r="E44" s="42">
        <f>4.19+1.25+8.1+3.75+7.95</f>
        <v>25.24</v>
      </c>
      <c r="F44" s="42">
        <f>15+0.88</f>
        <v>15.88</v>
      </c>
      <c r="G44" s="42">
        <v>6</v>
      </c>
      <c r="H44" s="42">
        <f>5+6.25+5+7.92</f>
        <v>24.17</v>
      </c>
      <c r="I44" s="42">
        <f>7.14+1.71+8.78+8.1</f>
        <v>25.729999999999997</v>
      </c>
      <c r="J44" s="42">
        <v>6.25</v>
      </c>
      <c r="K44" s="42">
        <v>2.5</v>
      </c>
      <c r="L44" s="42">
        <f>6.25+2+2.8+5.4</f>
        <v>16.450000000000003</v>
      </c>
      <c r="M44" s="42">
        <v>9.16</v>
      </c>
      <c r="N44" s="57">
        <f>SUM(Таблица3[[#This Row],[Столбец4]:[Столбец13]])</f>
        <v>157.92999999999998</v>
      </c>
      <c r="O44" s="57">
        <f>IFERROR(AVERAGE(Таблица3[[#This Row],[Столбец4]:[Столбец13]]),0)</f>
        <v>15.792999999999997</v>
      </c>
      <c r="P44" s="58">
        <f t="shared" si="0"/>
        <v>-19.207000000000001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3"/>
      <c r="ALN44" s="43"/>
      <c r="ALO44" s="43"/>
      <c r="ALP44" s="43"/>
      <c r="ALQ44" s="43"/>
      <c r="ALR44" s="43"/>
      <c r="ALS44" s="43"/>
      <c r="ALT44" s="43"/>
      <c r="ALU44" s="43"/>
      <c r="ALV44" s="43"/>
      <c r="ALW44" s="43"/>
      <c r="ALX44" s="43"/>
      <c r="ALY44" s="43"/>
      <c r="ALZ44" s="43"/>
      <c r="AMA44" s="43"/>
      <c r="AMB44" s="43"/>
      <c r="AMC44" s="43"/>
      <c r="AMD44" s="43"/>
      <c r="AME44" s="43"/>
      <c r="AMF44" s="43"/>
      <c r="AMG44" s="43"/>
      <c r="AMH44" s="43"/>
      <c r="AMI44" s="43"/>
      <c r="AMJ44" s="43"/>
      <c r="AMK44" s="43"/>
    </row>
    <row r="45" spans="1:1025" s="44" customFormat="1" ht="12.95" customHeight="1" x14ac:dyDescent="0.25">
      <c r="A45" s="53"/>
      <c r="B45" s="54" t="s">
        <v>131</v>
      </c>
      <c r="C45" s="45">
        <v>35</v>
      </c>
      <c r="D45" s="46">
        <f>5+8.1</f>
        <v>13.1</v>
      </c>
      <c r="E45" s="46">
        <f>5+9+9</f>
        <v>23</v>
      </c>
      <c r="F45" s="46">
        <v>5</v>
      </c>
      <c r="G45" s="46">
        <f>2.4+8.1</f>
        <v>10.5</v>
      </c>
      <c r="H45" s="46">
        <f>2+4.32+2.66</f>
        <v>8.98</v>
      </c>
      <c r="I45" s="46">
        <f>7.2+1.05</f>
        <v>8.25</v>
      </c>
      <c r="J45" s="46">
        <v>5</v>
      </c>
      <c r="K45" s="46">
        <f>7.2+1.75</f>
        <v>8.9499999999999993</v>
      </c>
      <c r="L45" s="46">
        <f>0.88+8.1</f>
        <v>8.98</v>
      </c>
      <c r="M45" s="46">
        <f>5.99+9</f>
        <v>14.99</v>
      </c>
      <c r="N45" s="57">
        <f>SUM(Таблица3[[#This Row],[Столбец4]:[Столбец13]])</f>
        <v>106.75</v>
      </c>
      <c r="O45" s="57">
        <f>IFERROR(AVERAGE(Таблица3[[#This Row],[Столбец4]:[Столбец13]]),0)</f>
        <v>10.675000000000001</v>
      </c>
      <c r="P45" s="59">
        <f>O45-C45</f>
        <v>-24.324999999999999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3"/>
      <c r="ALN45" s="43"/>
      <c r="ALO45" s="43"/>
      <c r="ALP45" s="43"/>
      <c r="ALQ45" s="43"/>
      <c r="ALR45" s="43"/>
      <c r="ALS45" s="43"/>
      <c r="ALT45" s="43"/>
      <c r="ALU45" s="43"/>
      <c r="ALV45" s="43"/>
      <c r="ALW45" s="43"/>
      <c r="ALX45" s="43"/>
      <c r="ALY45" s="43"/>
      <c r="ALZ45" s="43"/>
      <c r="AMA45" s="43"/>
      <c r="AMB45" s="43"/>
      <c r="AMC45" s="43"/>
      <c r="AMD45" s="43"/>
      <c r="AME45" s="43"/>
      <c r="AMF45" s="43"/>
      <c r="AMG45" s="43"/>
      <c r="AMH45" s="43"/>
      <c r="AMI45" s="43"/>
      <c r="AMJ45" s="43"/>
      <c r="AMK45" s="43"/>
    </row>
    <row r="46" spans="1:1025" s="44" customFormat="1" ht="12.95" customHeight="1" x14ac:dyDescent="0.25">
      <c r="A46" s="51">
        <v>21</v>
      </c>
      <c r="B46" s="52" t="s">
        <v>146</v>
      </c>
      <c r="C46" s="41">
        <v>18</v>
      </c>
      <c r="D46" s="42">
        <v>5</v>
      </c>
      <c r="E46" s="42">
        <f>1.2+6+5</f>
        <v>12.2</v>
      </c>
      <c r="F46" s="42">
        <f>2.66+6+2.5+8.57</f>
        <v>19.73</v>
      </c>
      <c r="G46" s="42">
        <f>3+6+2.5+4.19+4.8</f>
        <v>20.490000000000002</v>
      </c>
      <c r="H46" s="42">
        <f>6+2.85</f>
        <v>8.85</v>
      </c>
      <c r="I46" s="42">
        <f>2.85+1.75+6+5</f>
        <v>15.6</v>
      </c>
      <c r="J46" s="42">
        <f>6+5+7.93</f>
        <v>18.93</v>
      </c>
      <c r="K46" s="42">
        <f>2.66+11.81</f>
        <v>14.47</v>
      </c>
      <c r="L46" s="42">
        <v>11</v>
      </c>
      <c r="M46" s="42">
        <f>13.09+2</f>
        <v>15.09</v>
      </c>
      <c r="N46" s="57">
        <f>SUM(Таблица3[[#This Row],[Столбец4]:[Столбец13]])</f>
        <v>141.35999999999999</v>
      </c>
      <c r="O46" s="57">
        <f>IFERROR(AVERAGE(Таблица3[[#This Row],[Столбец4]:[Столбец13]]),0)</f>
        <v>14.135999999999999</v>
      </c>
      <c r="P46" s="58">
        <f t="shared" si="0"/>
        <v>-3.8640000000000008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3"/>
      <c r="ALN46" s="43"/>
      <c r="ALO46" s="43"/>
      <c r="ALP46" s="43"/>
      <c r="ALQ46" s="43"/>
      <c r="ALR46" s="43"/>
      <c r="ALS46" s="43"/>
      <c r="ALT46" s="43"/>
      <c r="ALU46" s="43"/>
      <c r="ALV46" s="43"/>
      <c r="ALW46" s="43"/>
      <c r="ALX46" s="43"/>
      <c r="ALY46" s="43"/>
      <c r="ALZ46" s="43"/>
      <c r="AMA46" s="43"/>
      <c r="AMB46" s="43"/>
      <c r="AMC46" s="43"/>
      <c r="AMD46" s="43"/>
      <c r="AME46" s="43"/>
      <c r="AMF46" s="43"/>
      <c r="AMG46" s="43"/>
      <c r="AMH46" s="43"/>
      <c r="AMI46" s="43"/>
      <c r="AMJ46" s="43"/>
      <c r="AMK46" s="43"/>
    </row>
    <row r="47" spans="1:1025" s="44" customFormat="1" ht="12.95" customHeight="1" x14ac:dyDescent="0.25">
      <c r="A47" s="53"/>
      <c r="B47" s="54" t="s">
        <v>146</v>
      </c>
      <c r="C47" s="45">
        <v>18</v>
      </c>
      <c r="D47" s="46">
        <v>0</v>
      </c>
      <c r="E47" s="46">
        <v>6</v>
      </c>
      <c r="F47" s="46">
        <v>5</v>
      </c>
      <c r="G47" s="46">
        <f>6+2.5+2</f>
        <v>10.5</v>
      </c>
      <c r="H47" s="46">
        <f>6+5+7.2</f>
        <v>18.2</v>
      </c>
      <c r="I47" s="46">
        <v>5</v>
      </c>
      <c r="J47" s="46">
        <f>6+5+10</f>
        <v>21</v>
      </c>
      <c r="K47" s="46">
        <f>2.5+2</f>
        <v>4.5</v>
      </c>
      <c r="L47" s="46">
        <v>8.5</v>
      </c>
      <c r="M47" s="46">
        <v>14.8</v>
      </c>
      <c r="N47" s="57">
        <f>SUM(Таблица3[[#This Row],[Столбец4]:[Столбец13]])</f>
        <v>93.5</v>
      </c>
      <c r="O47" s="57">
        <f>IFERROR(AVERAGE(Таблица3[[#This Row],[Столбец4]:[Столбец13]]),0)</f>
        <v>9.35</v>
      </c>
      <c r="P47" s="59">
        <f>O47-C47</f>
        <v>-8.65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3"/>
      <c r="ALN47" s="43"/>
      <c r="ALO47" s="43"/>
      <c r="ALP47" s="43"/>
      <c r="ALQ47" s="43"/>
      <c r="ALR47" s="43"/>
      <c r="ALS47" s="43"/>
      <c r="ALT47" s="43"/>
      <c r="ALU47" s="43"/>
      <c r="ALV47" s="43"/>
      <c r="ALW47" s="43"/>
      <c r="ALX47" s="43"/>
      <c r="ALY47" s="43"/>
      <c r="ALZ47" s="43"/>
      <c r="AMA47" s="43"/>
      <c r="AMB47" s="43"/>
      <c r="AMC47" s="43"/>
      <c r="AMD47" s="43"/>
      <c r="AME47" s="43"/>
      <c r="AMF47" s="43"/>
      <c r="AMG47" s="43"/>
      <c r="AMH47" s="43"/>
      <c r="AMI47" s="43"/>
      <c r="AMJ47" s="43"/>
      <c r="AMK47" s="43"/>
    </row>
    <row r="48" spans="1:1025" s="44" customFormat="1" ht="12.95" customHeight="1" x14ac:dyDescent="0.25">
      <c r="A48" s="51">
        <v>22</v>
      </c>
      <c r="B48" s="52" t="s">
        <v>258</v>
      </c>
      <c r="C48" s="41">
        <v>40</v>
      </c>
      <c r="D48" s="42">
        <v>0</v>
      </c>
      <c r="E48" s="42">
        <v>0</v>
      </c>
      <c r="F48" s="42">
        <v>7.53</v>
      </c>
      <c r="G48" s="42">
        <v>120</v>
      </c>
      <c r="H48" s="42">
        <v>40</v>
      </c>
      <c r="I48" s="42">
        <f>19+3.06</f>
        <v>22.06</v>
      </c>
      <c r="J48" s="42">
        <v>0</v>
      </c>
      <c r="K48" s="42">
        <v>5.33</v>
      </c>
      <c r="L48" s="42">
        <v>19.64</v>
      </c>
      <c r="M48" s="42">
        <v>0</v>
      </c>
      <c r="N48" s="57">
        <f>SUM(Таблица3[[#This Row],[Столбец4]:[Столбец13]])</f>
        <v>214.56</v>
      </c>
      <c r="O48" s="57">
        <f>IFERROR(AVERAGE(Таблица3[[#This Row],[Столбец4]:[Столбец13]]),0)</f>
        <v>21.456</v>
      </c>
      <c r="P48" s="58">
        <f t="shared" si="0"/>
        <v>-18.544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3"/>
      <c r="ALN48" s="43"/>
      <c r="ALO48" s="43"/>
      <c r="ALP48" s="43"/>
      <c r="ALQ48" s="43"/>
      <c r="ALR48" s="43"/>
      <c r="ALS48" s="43"/>
      <c r="ALT48" s="43"/>
      <c r="ALU48" s="43"/>
      <c r="ALV48" s="43"/>
      <c r="ALW48" s="43"/>
      <c r="ALX48" s="43"/>
      <c r="ALY48" s="43"/>
      <c r="ALZ48" s="43"/>
      <c r="AMA48" s="43"/>
      <c r="AMB48" s="43"/>
      <c r="AMC48" s="43"/>
      <c r="AMD48" s="43"/>
      <c r="AME48" s="43"/>
      <c r="AMF48" s="43"/>
      <c r="AMG48" s="43"/>
      <c r="AMH48" s="43"/>
      <c r="AMI48" s="43"/>
      <c r="AMJ48" s="43"/>
      <c r="AMK48" s="43"/>
    </row>
    <row r="49" spans="1:1025" s="44" customFormat="1" ht="12.95" customHeight="1" x14ac:dyDescent="0.25">
      <c r="A49" s="53"/>
      <c r="B49" s="54" t="s">
        <v>258</v>
      </c>
      <c r="C49" s="45">
        <v>40</v>
      </c>
      <c r="D49" s="46">
        <v>0</v>
      </c>
      <c r="E49" s="46">
        <v>0</v>
      </c>
      <c r="F49" s="46">
        <v>0</v>
      </c>
      <c r="G49" s="46">
        <f>2.01+17.5</f>
        <v>19.509999999999998</v>
      </c>
      <c r="H49" s="46">
        <f>6.6+6.66</f>
        <v>13.26</v>
      </c>
      <c r="I49" s="46">
        <v>0</v>
      </c>
      <c r="J49" s="46">
        <v>5</v>
      </c>
      <c r="K49" s="46">
        <v>11.3</v>
      </c>
      <c r="L49" s="46">
        <v>2.2000000000000002</v>
      </c>
      <c r="M49" s="46">
        <v>0</v>
      </c>
      <c r="N49" s="57">
        <f>SUM(Таблица3[[#This Row],[Столбец4]:[Столбец13]])</f>
        <v>51.269999999999996</v>
      </c>
      <c r="O49" s="57">
        <f>IFERROR(AVERAGE(Таблица3[[#This Row],[Столбец4]:[Столбец13]]),0)</f>
        <v>5.1269999999999998</v>
      </c>
      <c r="P49" s="59">
        <f>O49-C49</f>
        <v>-34.872999999999998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3"/>
      <c r="ALN49" s="43"/>
      <c r="ALO49" s="43"/>
      <c r="ALP49" s="43"/>
      <c r="ALQ49" s="43"/>
      <c r="ALR49" s="43"/>
      <c r="ALS49" s="43"/>
      <c r="ALT49" s="43"/>
      <c r="ALU49" s="43"/>
      <c r="ALV49" s="43"/>
      <c r="ALW49" s="43"/>
      <c r="ALX49" s="43"/>
      <c r="ALY49" s="43"/>
      <c r="ALZ49" s="43"/>
      <c r="AMA49" s="43"/>
      <c r="AMB49" s="43"/>
      <c r="AMC49" s="43"/>
      <c r="AMD49" s="43"/>
      <c r="AME49" s="43"/>
      <c r="AMF49" s="43"/>
      <c r="AMG49" s="43"/>
      <c r="AMH49" s="43"/>
      <c r="AMI49" s="43"/>
      <c r="AMJ49" s="43"/>
      <c r="AMK49" s="43"/>
    </row>
    <row r="50" spans="1:1025" s="44" customFormat="1" ht="12.95" customHeight="1" x14ac:dyDescent="0.25">
      <c r="A50" s="51">
        <v>23</v>
      </c>
      <c r="B50" s="52" t="s">
        <v>257</v>
      </c>
      <c r="C50" s="41">
        <v>45</v>
      </c>
      <c r="D50" s="42">
        <f>6.25+10+2.5+0.63+10</f>
        <v>29.38</v>
      </c>
      <c r="E50" s="42">
        <v>21.2</v>
      </c>
      <c r="F50" s="42">
        <f>13.33+4.2+10+1.2+15</f>
        <v>43.730000000000004</v>
      </c>
      <c r="G50" s="42">
        <f>0.07+10</f>
        <v>10.07</v>
      </c>
      <c r="H50" s="42">
        <f>6.25+10+10</f>
        <v>26.25</v>
      </c>
      <c r="I50" s="42">
        <v>30</v>
      </c>
      <c r="J50" s="42">
        <f>6.25+10+20</f>
        <v>36.25</v>
      </c>
      <c r="K50" s="42">
        <f>13.33+21+10+10</f>
        <v>54.33</v>
      </c>
      <c r="L50" s="42">
        <f>6.25+10+10</f>
        <v>26.25</v>
      </c>
      <c r="M50" s="42">
        <f>10+2.5+10</f>
        <v>22.5</v>
      </c>
      <c r="N50" s="57">
        <f>SUM(Таблица3[[#This Row],[Столбец4]:[Столбец13]])</f>
        <v>299.95999999999998</v>
      </c>
      <c r="O50" s="57">
        <f>IFERROR(AVERAGE(Таблица3[[#This Row],[Столбец4]:[Столбец13]]),0)</f>
        <v>29.995999999999999</v>
      </c>
      <c r="P50" s="58">
        <f t="shared" si="0"/>
        <v>-15.004000000000001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3"/>
      <c r="ALN50" s="43"/>
      <c r="ALO50" s="43"/>
      <c r="ALP50" s="43"/>
      <c r="ALQ50" s="43"/>
      <c r="ALR50" s="43"/>
      <c r="ALS50" s="43"/>
      <c r="ALT50" s="43"/>
      <c r="ALU50" s="43"/>
      <c r="ALV50" s="43"/>
      <c r="ALW50" s="43"/>
      <c r="ALX50" s="43"/>
      <c r="ALY50" s="43"/>
      <c r="ALZ50" s="43"/>
      <c r="AMA50" s="43"/>
      <c r="AMB50" s="43"/>
      <c r="AMC50" s="43"/>
      <c r="AMD50" s="43"/>
      <c r="AME50" s="43"/>
      <c r="AMF50" s="43"/>
      <c r="AMG50" s="43"/>
      <c r="AMH50" s="43"/>
      <c r="AMI50" s="43"/>
      <c r="AMJ50" s="43"/>
      <c r="AMK50" s="43"/>
    </row>
    <row r="51" spans="1:1025" s="44" customFormat="1" ht="12.95" customHeight="1" x14ac:dyDescent="0.25">
      <c r="A51" s="53"/>
      <c r="B51" s="54" t="s">
        <v>257</v>
      </c>
      <c r="C51" s="45">
        <v>45</v>
      </c>
      <c r="D51" s="46">
        <v>10</v>
      </c>
      <c r="E51" s="46">
        <v>10</v>
      </c>
      <c r="F51" s="46">
        <v>10</v>
      </c>
      <c r="G51" s="46">
        <v>15.4</v>
      </c>
      <c r="H51" s="46">
        <f>10+20</f>
        <v>30</v>
      </c>
      <c r="I51" s="46">
        <f>2.5+0.87+10</f>
        <v>13.370000000000001</v>
      </c>
      <c r="J51" s="46">
        <f>2.5+6.9</f>
        <v>9.4</v>
      </c>
      <c r="K51" s="46">
        <v>10.63</v>
      </c>
      <c r="L51" s="46">
        <v>15.4</v>
      </c>
      <c r="M51" s="46">
        <v>15</v>
      </c>
      <c r="N51" s="57">
        <f>SUM(Таблица3[[#This Row],[Столбец4]:[Столбец13]])</f>
        <v>139.20000000000002</v>
      </c>
      <c r="O51" s="57">
        <f>IFERROR(AVERAGE(Таблица3[[#This Row],[Столбец4]:[Столбец13]]),0)</f>
        <v>13.920000000000002</v>
      </c>
      <c r="P51" s="59">
        <f>O51-C51</f>
        <v>-31.08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3"/>
      <c r="ALN51" s="43"/>
      <c r="ALO51" s="43"/>
      <c r="ALP51" s="43"/>
      <c r="ALQ51" s="43"/>
      <c r="ALR51" s="43"/>
      <c r="ALS51" s="43"/>
      <c r="ALT51" s="43"/>
      <c r="ALU51" s="43"/>
      <c r="ALV51" s="43"/>
      <c r="ALW51" s="43"/>
      <c r="ALX51" s="43"/>
      <c r="ALY51" s="43"/>
      <c r="ALZ51" s="43"/>
      <c r="AMA51" s="43"/>
      <c r="AMB51" s="43"/>
      <c r="AMC51" s="43"/>
      <c r="AMD51" s="43"/>
      <c r="AME51" s="43"/>
      <c r="AMF51" s="43"/>
      <c r="AMG51" s="43"/>
      <c r="AMH51" s="43"/>
      <c r="AMI51" s="43"/>
      <c r="AMJ51" s="43"/>
      <c r="AMK51" s="43"/>
    </row>
    <row r="52" spans="1:1025" s="44" customFormat="1" ht="12.95" customHeight="1" x14ac:dyDescent="0.25">
      <c r="A52" s="51">
        <v>24</v>
      </c>
      <c r="B52" s="52" t="s">
        <v>256</v>
      </c>
      <c r="C52" s="41">
        <v>15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57">
        <f>SUM(Таблица3[[#This Row],[Столбец4]:[Столбец13]])</f>
        <v>0</v>
      </c>
      <c r="O52" s="57">
        <f>IFERROR(AVERAGE(Таблица3[[#This Row],[Столбец4]:[Столбец13]]),0)</f>
        <v>0</v>
      </c>
      <c r="P52" s="58">
        <f t="shared" si="0"/>
        <v>-15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3"/>
      <c r="ALN52" s="43"/>
      <c r="ALO52" s="43"/>
      <c r="ALP52" s="43"/>
      <c r="ALQ52" s="43"/>
      <c r="ALR52" s="43"/>
      <c r="ALS52" s="43"/>
      <c r="ALT52" s="43"/>
      <c r="ALU52" s="43"/>
      <c r="ALV52" s="43"/>
      <c r="ALW52" s="43"/>
      <c r="ALX52" s="43"/>
      <c r="ALY52" s="43"/>
      <c r="ALZ52" s="43"/>
      <c r="AMA52" s="43"/>
      <c r="AMB52" s="43"/>
      <c r="AMC52" s="43"/>
      <c r="AMD52" s="43"/>
      <c r="AME52" s="43"/>
      <c r="AMF52" s="43"/>
      <c r="AMG52" s="43"/>
      <c r="AMH52" s="43"/>
      <c r="AMI52" s="43"/>
      <c r="AMJ52" s="43"/>
      <c r="AMK52" s="43"/>
    </row>
    <row r="53" spans="1:1025" s="44" customFormat="1" ht="12.95" customHeight="1" x14ac:dyDescent="0.25">
      <c r="A53" s="53"/>
      <c r="B53" s="54" t="s">
        <v>256</v>
      </c>
      <c r="C53" s="45">
        <v>15</v>
      </c>
      <c r="D53" s="46">
        <v>30</v>
      </c>
      <c r="E53" s="46">
        <v>0</v>
      </c>
      <c r="F53" s="46">
        <v>0</v>
      </c>
      <c r="G53" s="46">
        <v>30</v>
      </c>
      <c r="H53" s="46">
        <v>0</v>
      </c>
      <c r="I53" s="46">
        <v>45</v>
      </c>
      <c r="J53" s="46">
        <v>0</v>
      </c>
      <c r="K53" s="46">
        <v>30</v>
      </c>
      <c r="L53" s="46">
        <v>0</v>
      </c>
      <c r="M53" s="46">
        <v>30</v>
      </c>
      <c r="N53" s="57">
        <f>SUM(Таблица3[[#This Row],[Столбец4]:[Столбец13]])</f>
        <v>165</v>
      </c>
      <c r="O53" s="57">
        <f>IFERROR(AVERAGE(Таблица3[[#This Row],[Столбец4]:[Столбец13]]),0)</f>
        <v>16.5</v>
      </c>
      <c r="P53" s="59">
        <f>O53-C53</f>
        <v>1.5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  <c r="AMJ53" s="43"/>
      <c r="AMK53" s="43"/>
    </row>
    <row r="54" spans="1:1025" s="44" customFormat="1" ht="12.95" customHeight="1" x14ac:dyDescent="0.25">
      <c r="A54" s="51">
        <v>25</v>
      </c>
      <c r="B54" s="52" t="s">
        <v>255</v>
      </c>
      <c r="C54" s="41">
        <v>0.4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1</v>
      </c>
      <c r="J54" s="42">
        <v>0</v>
      </c>
      <c r="K54" s="42">
        <v>1</v>
      </c>
      <c r="L54" s="42">
        <v>0</v>
      </c>
      <c r="M54" s="42">
        <v>1</v>
      </c>
      <c r="N54" s="57">
        <f>SUM(Таблица3[[#This Row],[Столбец4]:[Столбец13]])</f>
        <v>5</v>
      </c>
      <c r="O54" s="57">
        <f>IFERROR(AVERAGE(Таблица3[[#This Row],[Столбец4]:[Столбец13]]),0)</f>
        <v>0.5</v>
      </c>
      <c r="P54" s="58">
        <f t="shared" si="0"/>
        <v>9.9999999999999978E-2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3"/>
      <c r="ALN54" s="43"/>
      <c r="ALO54" s="43"/>
      <c r="ALP54" s="43"/>
      <c r="ALQ54" s="43"/>
      <c r="ALR54" s="43"/>
      <c r="ALS54" s="43"/>
      <c r="ALT54" s="43"/>
      <c r="ALU54" s="43"/>
      <c r="ALV54" s="43"/>
      <c r="ALW54" s="43"/>
      <c r="ALX54" s="43"/>
      <c r="ALY54" s="43"/>
      <c r="ALZ54" s="43"/>
      <c r="AMA54" s="43"/>
      <c r="AMB54" s="43"/>
      <c r="AMC54" s="43"/>
      <c r="AMD54" s="43"/>
      <c r="AME54" s="43"/>
      <c r="AMF54" s="43"/>
      <c r="AMG54" s="43"/>
      <c r="AMH54" s="43"/>
      <c r="AMI54" s="43"/>
      <c r="AMJ54" s="43"/>
      <c r="AMK54" s="43"/>
    </row>
    <row r="55" spans="1:1025" s="44" customFormat="1" ht="12.95" customHeight="1" x14ac:dyDescent="0.25">
      <c r="A55" s="53"/>
      <c r="B55" s="54" t="s">
        <v>255</v>
      </c>
      <c r="C55" s="45">
        <v>0.4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57">
        <f>SUM(Таблица3[[#This Row],[Столбец4]:[Столбец13]])</f>
        <v>0</v>
      </c>
      <c r="O55" s="57">
        <f>IFERROR(AVERAGE(Таблица3[[#This Row],[Столбец4]:[Столбец13]]),0)</f>
        <v>0</v>
      </c>
      <c r="P55" s="59">
        <f>O55-C55</f>
        <v>-0.4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3"/>
      <c r="ALN55" s="43"/>
      <c r="ALO55" s="43"/>
      <c r="ALP55" s="43"/>
      <c r="ALQ55" s="43"/>
      <c r="ALR55" s="43"/>
      <c r="ALS55" s="43"/>
      <c r="ALT55" s="43"/>
      <c r="ALU55" s="43"/>
      <c r="ALV55" s="43"/>
      <c r="ALW55" s="43"/>
      <c r="ALX55" s="43"/>
      <c r="ALY55" s="43"/>
      <c r="ALZ55" s="43"/>
      <c r="AMA55" s="43"/>
      <c r="AMB55" s="43"/>
      <c r="AMC55" s="43"/>
      <c r="AMD55" s="43"/>
      <c r="AME55" s="43"/>
      <c r="AMF55" s="43"/>
      <c r="AMG55" s="43"/>
      <c r="AMH55" s="43"/>
      <c r="AMI55" s="43"/>
      <c r="AMJ55" s="43"/>
      <c r="AMK55" s="43"/>
    </row>
    <row r="56" spans="1:1025" s="44" customFormat="1" ht="12.95" customHeight="1" x14ac:dyDescent="0.25">
      <c r="A56" s="51">
        <v>26</v>
      </c>
      <c r="B56" s="52" t="s">
        <v>254</v>
      </c>
      <c r="C56" s="41">
        <v>1.2</v>
      </c>
      <c r="D56" s="42">
        <v>0</v>
      </c>
      <c r="E56" s="42">
        <v>0</v>
      </c>
      <c r="F56" s="42">
        <v>2.4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2.4</v>
      </c>
      <c r="M56" s="42">
        <v>0</v>
      </c>
      <c r="N56" s="57">
        <f>SUM(Таблица3[[#This Row],[Столбец4]:[Столбец13]])</f>
        <v>4.8</v>
      </c>
      <c r="O56" s="57">
        <f>IFERROR(AVERAGE(Таблица3[[#This Row],[Столбец4]:[Столбец13]]),0)</f>
        <v>0.48</v>
      </c>
      <c r="P56" s="58">
        <f t="shared" si="0"/>
        <v>-0.72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  <c r="AMI56" s="43"/>
      <c r="AMJ56" s="43"/>
      <c r="AMK56" s="43"/>
    </row>
    <row r="57" spans="1:1025" s="44" customFormat="1" ht="12.95" customHeight="1" x14ac:dyDescent="0.25">
      <c r="A57" s="53"/>
      <c r="B57" s="54" t="s">
        <v>254</v>
      </c>
      <c r="C57" s="45">
        <v>1.2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57">
        <f>SUM(Таблица3[[#This Row],[Столбец4]:[Столбец13]])</f>
        <v>0</v>
      </c>
      <c r="O57" s="57">
        <f>IFERROR(AVERAGE(Таблица3[[#This Row],[Столбец4]:[Столбец13]]),0)</f>
        <v>0</v>
      </c>
      <c r="P57" s="59">
        <f>O57-C57</f>
        <v>-1.2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  <c r="ALZ57" s="43"/>
      <c r="AMA57" s="43"/>
      <c r="AMB57" s="43"/>
      <c r="AMC57" s="43"/>
      <c r="AMD57" s="43"/>
      <c r="AME57" s="43"/>
      <c r="AMF57" s="43"/>
      <c r="AMG57" s="43"/>
      <c r="AMH57" s="43"/>
      <c r="AMI57" s="43"/>
      <c r="AMJ57" s="43"/>
      <c r="AMK57" s="43"/>
    </row>
    <row r="58" spans="1:1025" s="44" customFormat="1" ht="12.95" customHeight="1" x14ac:dyDescent="0.25">
      <c r="A58" s="51">
        <v>27</v>
      </c>
      <c r="B58" s="52" t="s">
        <v>136</v>
      </c>
      <c r="C58" s="41">
        <v>2</v>
      </c>
      <c r="D58" s="42">
        <v>2.4</v>
      </c>
      <c r="E58" s="42">
        <v>0</v>
      </c>
      <c r="F58" s="42">
        <v>0</v>
      </c>
      <c r="G58" s="42">
        <v>2.4</v>
      </c>
      <c r="H58" s="42">
        <v>0</v>
      </c>
      <c r="I58" s="42">
        <v>0</v>
      </c>
      <c r="J58" s="42">
        <v>2.4</v>
      </c>
      <c r="K58" s="42">
        <v>0</v>
      </c>
      <c r="L58" s="42">
        <v>0</v>
      </c>
      <c r="M58" s="42">
        <v>0</v>
      </c>
      <c r="N58" s="57">
        <f>SUM(Таблица3[[#This Row],[Столбец4]:[Столбец13]])</f>
        <v>7.1999999999999993</v>
      </c>
      <c r="O58" s="57">
        <f>IFERROR(AVERAGE(Таблица3[[#This Row],[Столбец4]:[Столбец13]]),0)</f>
        <v>0.72</v>
      </c>
      <c r="P58" s="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  <c r="WP58" s="43"/>
      <c r="WQ58" s="43"/>
      <c r="WR58" s="43"/>
      <c r="WS58" s="43"/>
      <c r="WT58" s="43"/>
      <c r="WU58" s="43"/>
      <c r="WV58" s="43"/>
      <c r="WW58" s="43"/>
      <c r="WX58" s="43"/>
      <c r="WY58" s="43"/>
      <c r="WZ58" s="43"/>
      <c r="XA58" s="43"/>
      <c r="XB58" s="43"/>
      <c r="XC58" s="43"/>
      <c r="XD58" s="43"/>
      <c r="XE58" s="43"/>
      <c r="XF58" s="43"/>
      <c r="XG58" s="43"/>
      <c r="XH58" s="43"/>
      <c r="XI58" s="43"/>
      <c r="XJ58" s="43"/>
      <c r="XK58" s="43"/>
      <c r="XL58" s="43"/>
      <c r="XM58" s="43"/>
      <c r="XN58" s="43"/>
      <c r="XO58" s="43"/>
      <c r="XP58" s="43"/>
      <c r="XQ58" s="43"/>
      <c r="XR58" s="43"/>
      <c r="XS58" s="43"/>
      <c r="XT58" s="43"/>
      <c r="XU58" s="43"/>
      <c r="XV58" s="43"/>
      <c r="XW58" s="43"/>
      <c r="XX58" s="43"/>
      <c r="XY58" s="43"/>
      <c r="XZ58" s="43"/>
      <c r="YA58" s="43"/>
      <c r="YB58" s="43"/>
      <c r="YC58" s="43"/>
      <c r="YD58" s="43"/>
      <c r="YE58" s="43"/>
      <c r="YF58" s="43"/>
      <c r="YG58" s="43"/>
      <c r="YH58" s="43"/>
      <c r="YI58" s="43"/>
      <c r="YJ58" s="43"/>
      <c r="YK58" s="43"/>
      <c r="YL58" s="43"/>
      <c r="YM58" s="43"/>
      <c r="YN58" s="43"/>
      <c r="YO58" s="43"/>
      <c r="YP58" s="43"/>
      <c r="YQ58" s="43"/>
      <c r="YR58" s="43"/>
      <c r="YS58" s="43"/>
      <c r="YT58" s="43"/>
      <c r="YU58" s="43"/>
      <c r="YV58" s="43"/>
      <c r="YW58" s="43"/>
      <c r="YX58" s="43"/>
      <c r="YY58" s="43"/>
      <c r="YZ58" s="43"/>
      <c r="ZA58" s="43"/>
      <c r="ZB58" s="43"/>
      <c r="ZC58" s="43"/>
      <c r="ZD58" s="43"/>
      <c r="ZE58" s="43"/>
      <c r="ZF58" s="43"/>
      <c r="ZG58" s="43"/>
      <c r="ZH58" s="43"/>
      <c r="ZI58" s="43"/>
      <c r="ZJ58" s="43"/>
      <c r="ZK58" s="43"/>
      <c r="ZL58" s="43"/>
      <c r="ZM58" s="43"/>
      <c r="ZN58" s="43"/>
      <c r="ZO58" s="43"/>
      <c r="ZP58" s="43"/>
      <c r="ZQ58" s="43"/>
      <c r="ZR58" s="43"/>
      <c r="ZS58" s="43"/>
      <c r="ZT58" s="43"/>
      <c r="ZU58" s="43"/>
      <c r="ZV58" s="43"/>
      <c r="ZW58" s="43"/>
      <c r="ZX58" s="43"/>
      <c r="ZY58" s="43"/>
      <c r="ZZ58" s="43"/>
      <c r="AAA58" s="43"/>
      <c r="AAB58" s="43"/>
      <c r="AAC58" s="43"/>
      <c r="AAD58" s="43"/>
      <c r="AAE58" s="43"/>
      <c r="AAF58" s="43"/>
      <c r="AAG58" s="43"/>
      <c r="AAH58" s="43"/>
      <c r="AAI58" s="43"/>
      <c r="AAJ58" s="43"/>
      <c r="AAK58" s="43"/>
      <c r="AAL58" s="43"/>
      <c r="AAM58" s="43"/>
      <c r="AAN58" s="43"/>
      <c r="AAO58" s="43"/>
      <c r="AAP58" s="43"/>
      <c r="AAQ58" s="43"/>
      <c r="AAR58" s="43"/>
      <c r="AAS58" s="43"/>
      <c r="AAT58" s="43"/>
      <c r="AAU58" s="43"/>
      <c r="AAV58" s="43"/>
      <c r="AAW58" s="43"/>
      <c r="AAX58" s="43"/>
      <c r="AAY58" s="43"/>
      <c r="AAZ58" s="43"/>
      <c r="ABA58" s="43"/>
      <c r="ABB58" s="43"/>
      <c r="ABC58" s="43"/>
      <c r="ABD58" s="43"/>
      <c r="ABE58" s="43"/>
      <c r="ABF58" s="43"/>
      <c r="ABG58" s="43"/>
      <c r="ABH58" s="43"/>
      <c r="ABI58" s="43"/>
      <c r="ABJ58" s="43"/>
      <c r="ABK58" s="43"/>
      <c r="ABL58" s="43"/>
      <c r="ABM58" s="43"/>
      <c r="ABN58" s="43"/>
      <c r="ABO58" s="43"/>
      <c r="ABP58" s="43"/>
      <c r="ABQ58" s="43"/>
      <c r="ABR58" s="43"/>
      <c r="ABS58" s="43"/>
      <c r="ABT58" s="43"/>
      <c r="ABU58" s="43"/>
      <c r="ABV58" s="43"/>
      <c r="ABW58" s="43"/>
      <c r="ABX58" s="43"/>
      <c r="ABY58" s="43"/>
      <c r="ABZ58" s="43"/>
      <c r="ACA58" s="43"/>
      <c r="ACB58" s="43"/>
      <c r="ACC58" s="43"/>
      <c r="ACD58" s="43"/>
      <c r="ACE58" s="43"/>
      <c r="ACF58" s="43"/>
      <c r="ACG58" s="43"/>
      <c r="ACH58" s="43"/>
      <c r="ACI58" s="43"/>
      <c r="ACJ58" s="43"/>
      <c r="ACK58" s="43"/>
      <c r="ACL58" s="43"/>
      <c r="ACM58" s="43"/>
      <c r="ACN58" s="43"/>
      <c r="ACO58" s="43"/>
      <c r="ACP58" s="43"/>
      <c r="ACQ58" s="43"/>
      <c r="ACR58" s="43"/>
      <c r="ACS58" s="43"/>
      <c r="ACT58" s="43"/>
      <c r="ACU58" s="43"/>
      <c r="ACV58" s="43"/>
      <c r="ACW58" s="43"/>
      <c r="ACX58" s="43"/>
      <c r="ACY58" s="43"/>
      <c r="ACZ58" s="43"/>
      <c r="ADA58" s="43"/>
      <c r="ADB58" s="43"/>
      <c r="ADC58" s="43"/>
      <c r="ADD58" s="43"/>
      <c r="ADE58" s="43"/>
      <c r="ADF58" s="43"/>
      <c r="ADG58" s="43"/>
      <c r="ADH58" s="43"/>
      <c r="ADI58" s="43"/>
      <c r="ADJ58" s="43"/>
      <c r="ADK58" s="43"/>
      <c r="ADL58" s="43"/>
      <c r="ADM58" s="43"/>
      <c r="ADN58" s="43"/>
      <c r="ADO58" s="43"/>
      <c r="ADP58" s="43"/>
      <c r="ADQ58" s="43"/>
      <c r="ADR58" s="43"/>
      <c r="ADS58" s="43"/>
      <c r="ADT58" s="43"/>
      <c r="ADU58" s="43"/>
      <c r="ADV58" s="43"/>
      <c r="ADW58" s="43"/>
      <c r="ADX58" s="43"/>
      <c r="ADY58" s="43"/>
      <c r="ADZ58" s="43"/>
      <c r="AEA58" s="43"/>
      <c r="AEB58" s="43"/>
      <c r="AEC58" s="43"/>
      <c r="AED58" s="43"/>
      <c r="AEE58" s="43"/>
      <c r="AEF58" s="43"/>
      <c r="AEG58" s="43"/>
      <c r="AEH58" s="43"/>
      <c r="AEI58" s="43"/>
      <c r="AEJ58" s="43"/>
      <c r="AEK58" s="43"/>
      <c r="AEL58" s="43"/>
      <c r="AEM58" s="43"/>
      <c r="AEN58" s="43"/>
      <c r="AEO58" s="43"/>
      <c r="AEP58" s="43"/>
      <c r="AEQ58" s="43"/>
      <c r="AER58" s="43"/>
      <c r="AES58" s="43"/>
      <c r="AET58" s="43"/>
      <c r="AEU58" s="43"/>
      <c r="AEV58" s="43"/>
      <c r="AEW58" s="43"/>
      <c r="AEX58" s="43"/>
      <c r="AEY58" s="43"/>
      <c r="AEZ58" s="43"/>
      <c r="AFA58" s="43"/>
      <c r="AFB58" s="43"/>
      <c r="AFC58" s="43"/>
      <c r="AFD58" s="43"/>
      <c r="AFE58" s="43"/>
      <c r="AFF58" s="43"/>
      <c r="AFG58" s="43"/>
      <c r="AFH58" s="43"/>
      <c r="AFI58" s="43"/>
      <c r="AFJ58" s="43"/>
      <c r="AFK58" s="43"/>
      <c r="AFL58" s="43"/>
      <c r="AFM58" s="43"/>
      <c r="AFN58" s="43"/>
      <c r="AFO58" s="43"/>
      <c r="AFP58" s="43"/>
      <c r="AFQ58" s="43"/>
      <c r="AFR58" s="43"/>
      <c r="AFS58" s="43"/>
      <c r="AFT58" s="43"/>
      <c r="AFU58" s="43"/>
      <c r="AFV58" s="43"/>
      <c r="AFW58" s="43"/>
      <c r="AFX58" s="43"/>
      <c r="AFY58" s="43"/>
      <c r="AFZ58" s="43"/>
      <c r="AGA58" s="43"/>
      <c r="AGB58" s="43"/>
      <c r="AGC58" s="43"/>
      <c r="AGD58" s="43"/>
      <c r="AGE58" s="43"/>
      <c r="AGF58" s="43"/>
      <c r="AGG58" s="43"/>
      <c r="AGH58" s="43"/>
      <c r="AGI58" s="43"/>
      <c r="AGJ58" s="43"/>
      <c r="AGK58" s="43"/>
      <c r="AGL58" s="43"/>
      <c r="AGM58" s="43"/>
      <c r="AGN58" s="43"/>
      <c r="AGO58" s="43"/>
      <c r="AGP58" s="43"/>
      <c r="AGQ58" s="43"/>
      <c r="AGR58" s="43"/>
      <c r="AGS58" s="43"/>
      <c r="AGT58" s="43"/>
      <c r="AGU58" s="43"/>
      <c r="AGV58" s="43"/>
      <c r="AGW58" s="43"/>
      <c r="AGX58" s="43"/>
      <c r="AGY58" s="43"/>
      <c r="AGZ58" s="43"/>
      <c r="AHA58" s="43"/>
      <c r="AHB58" s="43"/>
      <c r="AHC58" s="43"/>
      <c r="AHD58" s="43"/>
      <c r="AHE58" s="43"/>
      <c r="AHF58" s="43"/>
      <c r="AHG58" s="43"/>
      <c r="AHH58" s="43"/>
      <c r="AHI58" s="43"/>
      <c r="AHJ58" s="43"/>
      <c r="AHK58" s="43"/>
      <c r="AHL58" s="43"/>
      <c r="AHM58" s="43"/>
      <c r="AHN58" s="43"/>
      <c r="AHO58" s="43"/>
      <c r="AHP58" s="43"/>
      <c r="AHQ58" s="43"/>
      <c r="AHR58" s="43"/>
      <c r="AHS58" s="43"/>
      <c r="AHT58" s="43"/>
      <c r="AHU58" s="43"/>
      <c r="AHV58" s="43"/>
      <c r="AHW58" s="43"/>
      <c r="AHX58" s="43"/>
      <c r="AHY58" s="43"/>
      <c r="AHZ58" s="43"/>
      <c r="AIA58" s="43"/>
      <c r="AIB58" s="43"/>
      <c r="AIC58" s="43"/>
      <c r="AID58" s="43"/>
      <c r="AIE58" s="43"/>
      <c r="AIF58" s="43"/>
      <c r="AIG58" s="43"/>
      <c r="AIH58" s="43"/>
      <c r="AII58" s="43"/>
      <c r="AIJ58" s="43"/>
      <c r="AIK58" s="43"/>
      <c r="AIL58" s="43"/>
      <c r="AIM58" s="43"/>
      <c r="AIN58" s="43"/>
      <c r="AIO58" s="43"/>
      <c r="AIP58" s="43"/>
      <c r="AIQ58" s="43"/>
      <c r="AIR58" s="43"/>
      <c r="AIS58" s="43"/>
      <c r="AIT58" s="43"/>
      <c r="AIU58" s="43"/>
      <c r="AIV58" s="43"/>
      <c r="AIW58" s="43"/>
      <c r="AIX58" s="43"/>
      <c r="AIY58" s="43"/>
      <c r="AIZ58" s="43"/>
      <c r="AJA58" s="43"/>
      <c r="AJB58" s="43"/>
      <c r="AJC58" s="43"/>
      <c r="AJD58" s="43"/>
      <c r="AJE58" s="43"/>
      <c r="AJF58" s="43"/>
      <c r="AJG58" s="43"/>
      <c r="AJH58" s="43"/>
      <c r="AJI58" s="43"/>
      <c r="AJJ58" s="43"/>
      <c r="AJK58" s="43"/>
      <c r="AJL58" s="43"/>
      <c r="AJM58" s="43"/>
      <c r="AJN58" s="43"/>
      <c r="AJO58" s="43"/>
      <c r="AJP58" s="43"/>
      <c r="AJQ58" s="43"/>
      <c r="AJR58" s="43"/>
      <c r="AJS58" s="43"/>
      <c r="AJT58" s="43"/>
      <c r="AJU58" s="43"/>
      <c r="AJV58" s="43"/>
      <c r="AJW58" s="43"/>
      <c r="AJX58" s="43"/>
      <c r="AJY58" s="43"/>
      <c r="AJZ58" s="43"/>
      <c r="AKA58" s="43"/>
      <c r="AKB58" s="43"/>
      <c r="AKC58" s="43"/>
      <c r="AKD58" s="43"/>
      <c r="AKE58" s="43"/>
      <c r="AKF58" s="43"/>
      <c r="AKG58" s="43"/>
      <c r="AKH58" s="43"/>
      <c r="AKI58" s="43"/>
      <c r="AKJ58" s="43"/>
      <c r="AKK58" s="43"/>
      <c r="AKL58" s="43"/>
      <c r="AKM58" s="43"/>
      <c r="AKN58" s="43"/>
      <c r="AKO58" s="43"/>
      <c r="AKP58" s="43"/>
      <c r="AKQ58" s="43"/>
      <c r="AKR58" s="43"/>
      <c r="AKS58" s="43"/>
      <c r="AKT58" s="43"/>
      <c r="AKU58" s="43"/>
      <c r="AKV58" s="43"/>
      <c r="AKW58" s="43"/>
      <c r="AKX58" s="43"/>
      <c r="AKY58" s="43"/>
      <c r="AKZ58" s="43"/>
      <c r="ALA58" s="43"/>
      <c r="ALB58" s="43"/>
      <c r="ALC58" s="43"/>
      <c r="ALD58" s="43"/>
      <c r="ALE58" s="43"/>
      <c r="ALF58" s="43"/>
      <c r="ALG58" s="43"/>
      <c r="ALH58" s="43"/>
      <c r="ALI58" s="43"/>
      <c r="ALJ58" s="43"/>
      <c r="ALK58" s="43"/>
      <c r="ALL58" s="43"/>
      <c r="ALM58" s="43"/>
      <c r="ALN58" s="43"/>
      <c r="ALO58" s="43"/>
      <c r="ALP58" s="43"/>
      <c r="ALQ58" s="43"/>
      <c r="ALR58" s="43"/>
      <c r="ALS58" s="43"/>
      <c r="ALT58" s="43"/>
      <c r="ALU58" s="43"/>
      <c r="ALV58" s="43"/>
      <c r="ALW58" s="43"/>
      <c r="ALX58" s="43"/>
      <c r="ALY58" s="43"/>
      <c r="ALZ58" s="43"/>
      <c r="AMA58" s="43"/>
      <c r="AMB58" s="43"/>
      <c r="AMC58" s="43"/>
      <c r="AMD58" s="43"/>
      <c r="AME58" s="43"/>
      <c r="AMF58" s="43"/>
      <c r="AMG58" s="43"/>
      <c r="AMH58" s="43"/>
      <c r="AMI58" s="43"/>
      <c r="AMJ58" s="43"/>
      <c r="AMK58" s="43"/>
    </row>
    <row r="59" spans="1:1025" s="44" customFormat="1" ht="12.95" customHeight="1" x14ac:dyDescent="0.25">
      <c r="A59" s="53"/>
      <c r="B59" s="54" t="s">
        <v>136</v>
      </c>
      <c r="C59" s="45">
        <v>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57">
        <f>SUM(Таблица3[[#This Row],[Столбец4]:[Столбец13]])</f>
        <v>0</v>
      </c>
      <c r="O59" s="57">
        <f>IFERROR(AVERAGE(Таблица3[[#This Row],[Столбец4]:[Столбец13]]),0)</f>
        <v>0</v>
      </c>
      <c r="P59" s="59">
        <f>O59-C59</f>
        <v>-2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LY59" s="43"/>
      <c r="LZ59" s="43"/>
      <c r="MA59" s="43"/>
      <c r="MB59" s="43"/>
      <c r="MC59" s="43"/>
      <c r="MD59" s="43"/>
      <c r="ME59" s="43"/>
      <c r="MF59" s="43"/>
      <c r="MG59" s="43"/>
      <c r="MH59" s="43"/>
      <c r="MI59" s="43"/>
      <c r="MJ59" s="43"/>
      <c r="MK59" s="43"/>
      <c r="ML59" s="43"/>
      <c r="MM59" s="43"/>
      <c r="MN59" s="43"/>
      <c r="MO59" s="43"/>
      <c r="MP59" s="43"/>
      <c r="MQ59" s="43"/>
      <c r="MR59" s="43"/>
      <c r="MS59" s="43"/>
      <c r="MT59" s="43"/>
      <c r="MU59" s="43"/>
      <c r="MV59" s="43"/>
      <c r="MW59" s="43"/>
      <c r="MX59" s="43"/>
      <c r="MY59" s="43"/>
      <c r="MZ59" s="43"/>
      <c r="NA59" s="43"/>
      <c r="NB59" s="43"/>
      <c r="NC59" s="43"/>
      <c r="ND59" s="43"/>
      <c r="NE59" s="43"/>
      <c r="NF59" s="43"/>
      <c r="NG59" s="43"/>
      <c r="NH59" s="43"/>
      <c r="NI59" s="43"/>
      <c r="NJ59" s="43"/>
      <c r="NK59" s="43"/>
      <c r="NL59" s="43"/>
      <c r="NM59" s="43"/>
      <c r="NN59" s="43"/>
      <c r="NO59" s="43"/>
      <c r="NP59" s="43"/>
      <c r="NQ59" s="43"/>
      <c r="NR59" s="43"/>
      <c r="NS59" s="43"/>
      <c r="NT59" s="43"/>
      <c r="NU59" s="43"/>
      <c r="NV59" s="43"/>
      <c r="NW59" s="43"/>
      <c r="NX59" s="43"/>
      <c r="NY59" s="43"/>
      <c r="NZ59" s="43"/>
      <c r="OA59" s="43"/>
      <c r="OB59" s="43"/>
      <c r="OC59" s="43"/>
      <c r="OD59" s="43"/>
      <c r="OE59" s="43"/>
      <c r="OF59" s="43"/>
      <c r="OG59" s="43"/>
      <c r="OH59" s="43"/>
      <c r="OI59" s="43"/>
      <c r="OJ59" s="43"/>
      <c r="OK59" s="43"/>
      <c r="OL59" s="43"/>
      <c r="OM59" s="43"/>
      <c r="ON59" s="43"/>
      <c r="OO59" s="43"/>
      <c r="OP59" s="43"/>
      <c r="OQ59" s="43"/>
      <c r="OR59" s="43"/>
      <c r="OS59" s="43"/>
      <c r="OT59" s="43"/>
      <c r="OU59" s="43"/>
      <c r="OV59" s="43"/>
      <c r="OW59" s="43"/>
      <c r="OX59" s="43"/>
      <c r="OY59" s="43"/>
      <c r="OZ59" s="43"/>
      <c r="PA59" s="43"/>
      <c r="PB59" s="43"/>
      <c r="PC59" s="43"/>
      <c r="PD59" s="43"/>
      <c r="PE59" s="43"/>
      <c r="PF59" s="43"/>
      <c r="PG59" s="43"/>
      <c r="PH59" s="43"/>
      <c r="PI59" s="43"/>
      <c r="PJ59" s="43"/>
      <c r="PK59" s="43"/>
      <c r="PL59" s="43"/>
      <c r="PM59" s="43"/>
      <c r="PN59" s="43"/>
      <c r="PO59" s="43"/>
      <c r="PP59" s="43"/>
      <c r="PQ59" s="43"/>
      <c r="PR59" s="43"/>
      <c r="PS59" s="43"/>
      <c r="PT59" s="43"/>
      <c r="PU59" s="43"/>
      <c r="PV59" s="43"/>
      <c r="PW59" s="43"/>
      <c r="PX59" s="43"/>
      <c r="PY59" s="43"/>
      <c r="PZ59" s="43"/>
      <c r="QA59" s="43"/>
      <c r="QB59" s="43"/>
      <c r="QC59" s="43"/>
      <c r="QD59" s="43"/>
      <c r="QE59" s="43"/>
      <c r="QF59" s="43"/>
      <c r="QG59" s="43"/>
      <c r="QH59" s="43"/>
      <c r="QI59" s="43"/>
      <c r="QJ59" s="43"/>
      <c r="QK59" s="43"/>
      <c r="QL59" s="43"/>
      <c r="QM59" s="43"/>
      <c r="QN59" s="43"/>
      <c r="QO59" s="43"/>
      <c r="QP59" s="43"/>
      <c r="QQ59" s="43"/>
      <c r="QR59" s="43"/>
      <c r="QS59" s="43"/>
      <c r="QT59" s="43"/>
      <c r="QU59" s="43"/>
      <c r="QV59" s="43"/>
      <c r="QW59" s="43"/>
      <c r="QX59" s="43"/>
      <c r="QY59" s="43"/>
      <c r="QZ59" s="43"/>
      <c r="RA59" s="43"/>
      <c r="RB59" s="43"/>
      <c r="RC59" s="43"/>
      <c r="RD59" s="43"/>
      <c r="RE59" s="43"/>
      <c r="RF59" s="43"/>
      <c r="RG59" s="43"/>
      <c r="RH59" s="43"/>
      <c r="RI59" s="43"/>
      <c r="RJ59" s="43"/>
      <c r="RK59" s="43"/>
      <c r="RL59" s="43"/>
      <c r="RM59" s="43"/>
      <c r="RN59" s="43"/>
      <c r="RO59" s="43"/>
      <c r="RP59" s="43"/>
      <c r="RQ59" s="43"/>
      <c r="RR59" s="43"/>
      <c r="RS59" s="43"/>
      <c r="RT59" s="43"/>
      <c r="RU59" s="43"/>
      <c r="RV59" s="43"/>
      <c r="RW59" s="43"/>
      <c r="RX59" s="43"/>
      <c r="RY59" s="43"/>
      <c r="RZ59" s="43"/>
      <c r="SA59" s="43"/>
      <c r="SB59" s="43"/>
      <c r="SC59" s="43"/>
      <c r="SD59" s="43"/>
      <c r="SE59" s="43"/>
      <c r="SF59" s="43"/>
      <c r="SG59" s="43"/>
      <c r="SH59" s="43"/>
      <c r="SI59" s="43"/>
      <c r="SJ59" s="43"/>
      <c r="SK59" s="43"/>
      <c r="SL59" s="43"/>
      <c r="SM59" s="43"/>
      <c r="SN59" s="43"/>
      <c r="SO59" s="43"/>
      <c r="SP59" s="43"/>
      <c r="SQ59" s="43"/>
      <c r="SR59" s="43"/>
      <c r="SS59" s="43"/>
      <c r="ST59" s="43"/>
      <c r="SU59" s="43"/>
      <c r="SV59" s="43"/>
      <c r="SW59" s="43"/>
      <c r="SX59" s="43"/>
      <c r="SY59" s="43"/>
      <c r="SZ59" s="43"/>
      <c r="TA59" s="43"/>
      <c r="TB59" s="43"/>
      <c r="TC59" s="43"/>
      <c r="TD59" s="43"/>
      <c r="TE59" s="43"/>
      <c r="TF59" s="43"/>
      <c r="TG59" s="43"/>
      <c r="TH59" s="43"/>
      <c r="TI59" s="43"/>
      <c r="TJ59" s="43"/>
      <c r="TK59" s="43"/>
      <c r="TL59" s="43"/>
      <c r="TM59" s="43"/>
      <c r="TN59" s="43"/>
      <c r="TO59" s="43"/>
      <c r="TP59" s="43"/>
      <c r="TQ59" s="43"/>
      <c r="TR59" s="43"/>
      <c r="TS59" s="43"/>
      <c r="TT59" s="43"/>
      <c r="TU59" s="43"/>
      <c r="TV59" s="43"/>
      <c r="TW59" s="43"/>
      <c r="TX59" s="43"/>
      <c r="TY59" s="43"/>
      <c r="TZ59" s="43"/>
      <c r="UA59" s="43"/>
      <c r="UB59" s="43"/>
      <c r="UC59" s="43"/>
      <c r="UD59" s="43"/>
      <c r="UE59" s="43"/>
      <c r="UF59" s="43"/>
      <c r="UG59" s="43"/>
      <c r="UH59" s="43"/>
      <c r="UI59" s="43"/>
      <c r="UJ59" s="43"/>
      <c r="UK59" s="43"/>
      <c r="UL59" s="43"/>
      <c r="UM59" s="43"/>
      <c r="UN59" s="43"/>
      <c r="UO59" s="43"/>
      <c r="UP59" s="43"/>
      <c r="UQ59" s="43"/>
      <c r="UR59" s="43"/>
      <c r="US59" s="43"/>
      <c r="UT59" s="43"/>
      <c r="UU59" s="43"/>
      <c r="UV59" s="43"/>
      <c r="UW59" s="43"/>
      <c r="UX59" s="43"/>
      <c r="UY59" s="43"/>
      <c r="UZ59" s="43"/>
      <c r="VA59" s="43"/>
      <c r="VB59" s="43"/>
      <c r="VC59" s="43"/>
      <c r="VD59" s="43"/>
      <c r="VE59" s="43"/>
      <c r="VF59" s="43"/>
      <c r="VG59" s="43"/>
      <c r="VH59" s="43"/>
      <c r="VI59" s="43"/>
      <c r="VJ59" s="43"/>
      <c r="VK59" s="43"/>
      <c r="VL59" s="43"/>
      <c r="VM59" s="43"/>
      <c r="VN59" s="43"/>
      <c r="VO59" s="43"/>
      <c r="VP59" s="43"/>
      <c r="VQ59" s="43"/>
      <c r="VR59" s="43"/>
      <c r="VS59" s="43"/>
      <c r="VT59" s="43"/>
      <c r="VU59" s="43"/>
      <c r="VV59" s="43"/>
      <c r="VW59" s="43"/>
      <c r="VX59" s="43"/>
      <c r="VY59" s="43"/>
      <c r="VZ59" s="43"/>
      <c r="WA59" s="43"/>
      <c r="WB59" s="43"/>
      <c r="WC59" s="43"/>
      <c r="WD59" s="43"/>
      <c r="WE59" s="43"/>
      <c r="WF59" s="43"/>
      <c r="WG59" s="43"/>
      <c r="WH59" s="43"/>
      <c r="WI59" s="43"/>
      <c r="WJ59" s="43"/>
      <c r="WK59" s="43"/>
      <c r="WL59" s="43"/>
      <c r="WM59" s="43"/>
      <c r="WN59" s="43"/>
      <c r="WO59" s="43"/>
      <c r="WP59" s="43"/>
      <c r="WQ59" s="43"/>
      <c r="WR59" s="43"/>
      <c r="WS59" s="43"/>
      <c r="WT59" s="43"/>
      <c r="WU59" s="43"/>
      <c r="WV59" s="43"/>
      <c r="WW59" s="43"/>
      <c r="WX59" s="43"/>
      <c r="WY59" s="43"/>
      <c r="WZ59" s="43"/>
      <c r="XA59" s="43"/>
      <c r="XB59" s="43"/>
      <c r="XC59" s="43"/>
      <c r="XD59" s="43"/>
      <c r="XE59" s="43"/>
      <c r="XF59" s="43"/>
      <c r="XG59" s="43"/>
      <c r="XH59" s="43"/>
      <c r="XI59" s="43"/>
      <c r="XJ59" s="43"/>
      <c r="XK59" s="43"/>
      <c r="XL59" s="43"/>
      <c r="XM59" s="43"/>
      <c r="XN59" s="43"/>
      <c r="XO59" s="43"/>
      <c r="XP59" s="43"/>
      <c r="XQ59" s="43"/>
      <c r="XR59" s="43"/>
      <c r="XS59" s="43"/>
      <c r="XT59" s="43"/>
      <c r="XU59" s="43"/>
      <c r="XV59" s="43"/>
      <c r="XW59" s="43"/>
      <c r="XX59" s="43"/>
      <c r="XY59" s="43"/>
      <c r="XZ59" s="43"/>
      <c r="YA59" s="43"/>
      <c r="YB59" s="43"/>
      <c r="YC59" s="43"/>
      <c r="YD59" s="43"/>
      <c r="YE59" s="43"/>
      <c r="YF59" s="43"/>
      <c r="YG59" s="43"/>
      <c r="YH59" s="43"/>
      <c r="YI59" s="43"/>
      <c r="YJ59" s="43"/>
      <c r="YK59" s="43"/>
      <c r="YL59" s="43"/>
      <c r="YM59" s="43"/>
      <c r="YN59" s="43"/>
      <c r="YO59" s="43"/>
      <c r="YP59" s="43"/>
      <c r="YQ59" s="43"/>
      <c r="YR59" s="43"/>
      <c r="YS59" s="43"/>
      <c r="YT59" s="43"/>
      <c r="YU59" s="43"/>
      <c r="YV59" s="43"/>
      <c r="YW59" s="43"/>
      <c r="YX59" s="43"/>
      <c r="YY59" s="43"/>
      <c r="YZ59" s="43"/>
      <c r="ZA59" s="43"/>
      <c r="ZB59" s="43"/>
      <c r="ZC59" s="43"/>
      <c r="ZD59" s="43"/>
      <c r="ZE59" s="43"/>
      <c r="ZF59" s="43"/>
      <c r="ZG59" s="43"/>
      <c r="ZH59" s="43"/>
      <c r="ZI59" s="43"/>
      <c r="ZJ59" s="43"/>
      <c r="ZK59" s="43"/>
      <c r="ZL59" s="43"/>
      <c r="ZM59" s="43"/>
      <c r="ZN59" s="43"/>
      <c r="ZO59" s="43"/>
      <c r="ZP59" s="43"/>
      <c r="ZQ59" s="43"/>
      <c r="ZR59" s="43"/>
      <c r="ZS59" s="43"/>
      <c r="ZT59" s="43"/>
      <c r="ZU59" s="43"/>
      <c r="ZV59" s="43"/>
      <c r="ZW59" s="43"/>
      <c r="ZX59" s="43"/>
      <c r="ZY59" s="43"/>
      <c r="ZZ59" s="43"/>
      <c r="AAA59" s="43"/>
      <c r="AAB59" s="43"/>
      <c r="AAC59" s="43"/>
      <c r="AAD59" s="43"/>
      <c r="AAE59" s="43"/>
      <c r="AAF59" s="43"/>
      <c r="AAG59" s="43"/>
      <c r="AAH59" s="43"/>
      <c r="AAI59" s="43"/>
      <c r="AAJ59" s="43"/>
      <c r="AAK59" s="43"/>
      <c r="AAL59" s="43"/>
      <c r="AAM59" s="43"/>
      <c r="AAN59" s="43"/>
      <c r="AAO59" s="43"/>
      <c r="AAP59" s="43"/>
      <c r="AAQ59" s="43"/>
      <c r="AAR59" s="43"/>
      <c r="AAS59" s="43"/>
      <c r="AAT59" s="43"/>
      <c r="AAU59" s="43"/>
      <c r="AAV59" s="43"/>
      <c r="AAW59" s="43"/>
      <c r="AAX59" s="43"/>
      <c r="AAY59" s="43"/>
      <c r="AAZ59" s="43"/>
      <c r="ABA59" s="43"/>
      <c r="ABB59" s="43"/>
      <c r="ABC59" s="43"/>
      <c r="ABD59" s="43"/>
      <c r="ABE59" s="43"/>
      <c r="ABF59" s="43"/>
      <c r="ABG59" s="43"/>
      <c r="ABH59" s="43"/>
      <c r="ABI59" s="43"/>
      <c r="ABJ59" s="43"/>
      <c r="ABK59" s="43"/>
      <c r="ABL59" s="43"/>
      <c r="ABM59" s="43"/>
      <c r="ABN59" s="43"/>
      <c r="ABO59" s="43"/>
      <c r="ABP59" s="43"/>
      <c r="ABQ59" s="43"/>
      <c r="ABR59" s="43"/>
      <c r="ABS59" s="43"/>
      <c r="ABT59" s="43"/>
      <c r="ABU59" s="43"/>
      <c r="ABV59" s="43"/>
      <c r="ABW59" s="43"/>
      <c r="ABX59" s="43"/>
      <c r="ABY59" s="43"/>
      <c r="ABZ59" s="43"/>
      <c r="ACA59" s="43"/>
      <c r="ACB59" s="43"/>
      <c r="ACC59" s="43"/>
      <c r="ACD59" s="43"/>
      <c r="ACE59" s="43"/>
      <c r="ACF59" s="43"/>
      <c r="ACG59" s="43"/>
      <c r="ACH59" s="43"/>
      <c r="ACI59" s="43"/>
      <c r="ACJ59" s="43"/>
      <c r="ACK59" s="43"/>
      <c r="ACL59" s="43"/>
      <c r="ACM59" s="43"/>
      <c r="ACN59" s="43"/>
      <c r="ACO59" s="43"/>
      <c r="ACP59" s="43"/>
      <c r="ACQ59" s="43"/>
      <c r="ACR59" s="43"/>
      <c r="ACS59" s="43"/>
      <c r="ACT59" s="43"/>
      <c r="ACU59" s="43"/>
      <c r="ACV59" s="43"/>
      <c r="ACW59" s="43"/>
      <c r="ACX59" s="43"/>
      <c r="ACY59" s="43"/>
      <c r="ACZ59" s="43"/>
      <c r="ADA59" s="43"/>
      <c r="ADB59" s="43"/>
      <c r="ADC59" s="43"/>
      <c r="ADD59" s="43"/>
      <c r="ADE59" s="43"/>
      <c r="ADF59" s="43"/>
      <c r="ADG59" s="43"/>
      <c r="ADH59" s="43"/>
      <c r="ADI59" s="43"/>
      <c r="ADJ59" s="43"/>
      <c r="ADK59" s="43"/>
      <c r="ADL59" s="43"/>
      <c r="ADM59" s="43"/>
      <c r="ADN59" s="43"/>
      <c r="ADO59" s="43"/>
      <c r="ADP59" s="43"/>
      <c r="ADQ59" s="43"/>
      <c r="ADR59" s="43"/>
      <c r="ADS59" s="43"/>
      <c r="ADT59" s="43"/>
      <c r="ADU59" s="43"/>
      <c r="ADV59" s="43"/>
      <c r="ADW59" s="43"/>
      <c r="ADX59" s="43"/>
      <c r="ADY59" s="43"/>
      <c r="ADZ59" s="43"/>
      <c r="AEA59" s="43"/>
      <c r="AEB59" s="43"/>
      <c r="AEC59" s="43"/>
      <c r="AED59" s="43"/>
      <c r="AEE59" s="43"/>
      <c r="AEF59" s="43"/>
      <c r="AEG59" s="43"/>
      <c r="AEH59" s="43"/>
      <c r="AEI59" s="43"/>
      <c r="AEJ59" s="43"/>
      <c r="AEK59" s="43"/>
      <c r="AEL59" s="43"/>
      <c r="AEM59" s="43"/>
      <c r="AEN59" s="43"/>
      <c r="AEO59" s="43"/>
      <c r="AEP59" s="43"/>
      <c r="AEQ59" s="43"/>
      <c r="AER59" s="43"/>
      <c r="AES59" s="43"/>
      <c r="AET59" s="43"/>
      <c r="AEU59" s="43"/>
      <c r="AEV59" s="43"/>
      <c r="AEW59" s="43"/>
      <c r="AEX59" s="43"/>
      <c r="AEY59" s="43"/>
      <c r="AEZ59" s="43"/>
      <c r="AFA59" s="43"/>
      <c r="AFB59" s="43"/>
      <c r="AFC59" s="43"/>
      <c r="AFD59" s="43"/>
      <c r="AFE59" s="43"/>
      <c r="AFF59" s="43"/>
      <c r="AFG59" s="43"/>
      <c r="AFH59" s="43"/>
      <c r="AFI59" s="43"/>
      <c r="AFJ59" s="43"/>
      <c r="AFK59" s="43"/>
      <c r="AFL59" s="43"/>
      <c r="AFM59" s="43"/>
      <c r="AFN59" s="43"/>
      <c r="AFO59" s="43"/>
      <c r="AFP59" s="43"/>
      <c r="AFQ59" s="43"/>
      <c r="AFR59" s="43"/>
      <c r="AFS59" s="43"/>
      <c r="AFT59" s="43"/>
      <c r="AFU59" s="43"/>
      <c r="AFV59" s="43"/>
      <c r="AFW59" s="43"/>
      <c r="AFX59" s="43"/>
      <c r="AFY59" s="43"/>
      <c r="AFZ59" s="43"/>
      <c r="AGA59" s="43"/>
      <c r="AGB59" s="43"/>
      <c r="AGC59" s="43"/>
      <c r="AGD59" s="43"/>
      <c r="AGE59" s="43"/>
      <c r="AGF59" s="43"/>
      <c r="AGG59" s="43"/>
      <c r="AGH59" s="43"/>
      <c r="AGI59" s="43"/>
      <c r="AGJ59" s="43"/>
      <c r="AGK59" s="43"/>
      <c r="AGL59" s="43"/>
      <c r="AGM59" s="43"/>
      <c r="AGN59" s="43"/>
      <c r="AGO59" s="43"/>
      <c r="AGP59" s="43"/>
      <c r="AGQ59" s="43"/>
      <c r="AGR59" s="43"/>
      <c r="AGS59" s="43"/>
      <c r="AGT59" s="43"/>
      <c r="AGU59" s="43"/>
      <c r="AGV59" s="43"/>
      <c r="AGW59" s="43"/>
      <c r="AGX59" s="43"/>
      <c r="AGY59" s="43"/>
      <c r="AGZ59" s="43"/>
      <c r="AHA59" s="43"/>
      <c r="AHB59" s="43"/>
      <c r="AHC59" s="43"/>
      <c r="AHD59" s="43"/>
      <c r="AHE59" s="43"/>
      <c r="AHF59" s="43"/>
      <c r="AHG59" s="43"/>
      <c r="AHH59" s="43"/>
      <c r="AHI59" s="43"/>
      <c r="AHJ59" s="43"/>
      <c r="AHK59" s="43"/>
      <c r="AHL59" s="43"/>
      <c r="AHM59" s="43"/>
      <c r="AHN59" s="43"/>
      <c r="AHO59" s="43"/>
      <c r="AHP59" s="43"/>
      <c r="AHQ59" s="43"/>
      <c r="AHR59" s="43"/>
      <c r="AHS59" s="43"/>
      <c r="AHT59" s="43"/>
      <c r="AHU59" s="43"/>
      <c r="AHV59" s="43"/>
      <c r="AHW59" s="43"/>
      <c r="AHX59" s="43"/>
      <c r="AHY59" s="43"/>
      <c r="AHZ59" s="43"/>
      <c r="AIA59" s="43"/>
      <c r="AIB59" s="43"/>
      <c r="AIC59" s="43"/>
      <c r="AID59" s="43"/>
      <c r="AIE59" s="43"/>
      <c r="AIF59" s="43"/>
      <c r="AIG59" s="43"/>
      <c r="AIH59" s="43"/>
      <c r="AII59" s="43"/>
      <c r="AIJ59" s="43"/>
      <c r="AIK59" s="43"/>
      <c r="AIL59" s="43"/>
      <c r="AIM59" s="43"/>
      <c r="AIN59" s="43"/>
      <c r="AIO59" s="43"/>
      <c r="AIP59" s="43"/>
      <c r="AIQ59" s="43"/>
      <c r="AIR59" s="43"/>
      <c r="AIS59" s="43"/>
      <c r="AIT59" s="43"/>
      <c r="AIU59" s="43"/>
      <c r="AIV59" s="43"/>
      <c r="AIW59" s="43"/>
      <c r="AIX59" s="43"/>
      <c r="AIY59" s="43"/>
      <c r="AIZ59" s="43"/>
      <c r="AJA59" s="43"/>
      <c r="AJB59" s="43"/>
      <c r="AJC59" s="43"/>
      <c r="AJD59" s="43"/>
      <c r="AJE59" s="43"/>
      <c r="AJF59" s="43"/>
      <c r="AJG59" s="43"/>
      <c r="AJH59" s="43"/>
      <c r="AJI59" s="43"/>
      <c r="AJJ59" s="43"/>
      <c r="AJK59" s="43"/>
      <c r="AJL59" s="43"/>
      <c r="AJM59" s="43"/>
      <c r="AJN59" s="43"/>
      <c r="AJO59" s="43"/>
      <c r="AJP59" s="43"/>
      <c r="AJQ59" s="43"/>
      <c r="AJR59" s="43"/>
      <c r="AJS59" s="43"/>
      <c r="AJT59" s="43"/>
      <c r="AJU59" s="43"/>
      <c r="AJV59" s="43"/>
      <c r="AJW59" s="43"/>
      <c r="AJX59" s="43"/>
      <c r="AJY59" s="43"/>
      <c r="AJZ59" s="43"/>
      <c r="AKA59" s="43"/>
      <c r="AKB59" s="43"/>
      <c r="AKC59" s="43"/>
      <c r="AKD59" s="43"/>
      <c r="AKE59" s="43"/>
      <c r="AKF59" s="43"/>
      <c r="AKG59" s="43"/>
      <c r="AKH59" s="43"/>
      <c r="AKI59" s="43"/>
      <c r="AKJ59" s="43"/>
      <c r="AKK59" s="43"/>
      <c r="AKL59" s="43"/>
      <c r="AKM59" s="43"/>
      <c r="AKN59" s="43"/>
      <c r="AKO59" s="43"/>
      <c r="AKP59" s="43"/>
      <c r="AKQ59" s="43"/>
      <c r="AKR59" s="43"/>
      <c r="AKS59" s="43"/>
      <c r="AKT59" s="43"/>
      <c r="AKU59" s="43"/>
      <c r="AKV59" s="43"/>
      <c r="AKW59" s="43"/>
      <c r="AKX59" s="43"/>
      <c r="AKY59" s="43"/>
      <c r="AKZ59" s="43"/>
      <c r="ALA59" s="43"/>
      <c r="ALB59" s="43"/>
      <c r="ALC59" s="43"/>
      <c r="ALD59" s="43"/>
      <c r="ALE59" s="43"/>
      <c r="ALF59" s="43"/>
      <c r="ALG59" s="43"/>
      <c r="ALH59" s="43"/>
      <c r="ALI59" s="43"/>
      <c r="ALJ59" s="43"/>
      <c r="ALK59" s="43"/>
      <c r="ALL59" s="43"/>
      <c r="ALM59" s="43"/>
      <c r="ALN59" s="43"/>
      <c r="ALO59" s="43"/>
      <c r="ALP59" s="43"/>
      <c r="ALQ59" s="43"/>
      <c r="ALR59" s="43"/>
      <c r="ALS59" s="43"/>
      <c r="ALT59" s="43"/>
      <c r="ALU59" s="43"/>
      <c r="ALV59" s="43"/>
      <c r="ALW59" s="43"/>
      <c r="ALX59" s="43"/>
      <c r="ALY59" s="43"/>
      <c r="ALZ59" s="43"/>
      <c r="AMA59" s="43"/>
      <c r="AMB59" s="43"/>
      <c r="AMC59" s="43"/>
      <c r="AMD59" s="43"/>
      <c r="AME59" s="43"/>
      <c r="AMF59" s="43"/>
      <c r="AMG59" s="43"/>
      <c r="AMH59" s="43"/>
      <c r="AMI59" s="43"/>
      <c r="AMJ59" s="43"/>
      <c r="AMK59" s="43"/>
    </row>
    <row r="60" spans="1:1025" s="44" customFormat="1" ht="12.95" customHeight="1" x14ac:dyDescent="0.25">
      <c r="A60" s="51">
        <v>28</v>
      </c>
      <c r="B60" s="52" t="s">
        <v>253</v>
      </c>
      <c r="C60" s="41">
        <v>2</v>
      </c>
      <c r="D60" s="42">
        <v>0</v>
      </c>
      <c r="E60" s="42">
        <v>0</v>
      </c>
      <c r="F60" s="42">
        <v>2</v>
      </c>
      <c r="G60" s="42">
        <v>0</v>
      </c>
      <c r="H60" s="42">
        <v>0</v>
      </c>
      <c r="I60" s="42">
        <v>0</v>
      </c>
      <c r="J60" s="42">
        <v>1.5</v>
      </c>
      <c r="K60" s="42">
        <v>0</v>
      </c>
      <c r="L60" s="42">
        <v>0</v>
      </c>
      <c r="M60" s="42">
        <v>0</v>
      </c>
      <c r="N60" s="57">
        <f>SUM(Таблица3[[#This Row],[Столбец4]:[Столбец13]])</f>
        <v>3.5</v>
      </c>
      <c r="O60" s="57">
        <f>IFERROR(AVERAGE(Таблица3[[#This Row],[Столбец4]:[Столбец13]]),0)</f>
        <v>0.35</v>
      </c>
      <c r="P60" s="58">
        <f>O60-C60</f>
        <v>-1.65</v>
      </c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3"/>
      <c r="LZ60" s="43"/>
      <c r="MA60" s="43"/>
      <c r="MB60" s="43"/>
      <c r="MC60" s="43"/>
      <c r="MD60" s="43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3"/>
      <c r="MP60" s="43"/>
      <c r="MQ60" s="43"/>
      <c r="MR60" s="43"/>
      <c r="MS60" s="43"/>
      <c r="MT60" s="43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3"/>
      <c r="NF60" s="43"/>
      <c r="NG60" s="43"/>
      <c r="NH60" s="43"/>
      <c r="NI60" s="43"/>
      <c r="NJ60" s="43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3"/>
      <c r="NV60" s="43"/>
      <c r="NW60" s="43"/>
      <c r="NX60" s="43"/>
      <c r="NY60" s="43"/>
      <c r="NZ60" s="43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3"/>
      <c r="OL60" s="43"/>
      <c r="OM60" s="43"/>
      <c r="ON60" s="43"/>
      <c r="OO60" s="43"/>
      <c r="OP60" s="43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3"/>
      <c r="PB60" s="43"/>
      <c r="PC60" s="43"/>
      <c r="PD60" s="43"/>
      <c r="PE60" s="43"/>
      <c r="PF60" s="43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3"/>
      <c r="PR60" s="43"/>
      <c r="PS60" s="43"/>
      <c r="PT60" s="43"/>
      <c r="PU60" s="43"/>
      <c r="PV60" s="43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3"/>
      <c r="QH60" s="43"/>
      <c r="QI60" s="43"/>
      <c r="QJ60" s="43"/>
      <c r="QK60" s="43"/>
      <c r="QL60" s="43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3"/>
      <c r="QX60" s="43"/>
      <c r="QY60" s="43"/>
      <c r="QZ60" s="43"/>
      <c r="RA60" s="43"/>
      <c r="RB60" s="43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3"/>
      <c r="RN60" s="43"/>
      <c r="RO60" s="43"/>
      <c r="RP60" s="43"/>
      <c r="RQ60" s="43"/>
      <c r="RR60" s="43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3"/>
      <c r="SD60" s="43"/>
      <c r="SE60" s="43"/>
      <c r="SF60" s="43"/>
      <c r="SG60" s="43"/>
      <c r="SH60" s="43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3"/>
      <c r="ST60" s="43"/>
      <c r="SU60" s="43"/>
      <c r="SV60" s="43"/>
      <c r="SW60" s="43"/>
      <c r="SX60" s="43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3"/>
      <c r="TJ60" s="43"/>
      <c r="TK60" s="43"/>
      <c r="TL60" s="43"/>
      <c r="TM60" s="43"/>
      <c r="TN60" s="43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3"/>
      <c r="TZ60" s="43"/>
      <c r="UA60" s="43"/>
      <c r="UB60" s="43"/>
      <c r="UC60" s="43"/>
      <c r="UD60" s="43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3"/>
      <c r="UP60" s="43"/>
      <c r="UQ60" s="43"/>
      <c r="UR60" s="43"/>
      <c r="US60" s="43"/>
      <c r="UT60" s="43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3"/>
      <c r="VF60" s="43"/>
      <c r="VG60" s="43"/>
      <c r="VH60" s="43"/>
      <c r="VI60" s="43"/>
      <c r="VJ60" s="43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3"/>
      <c r="VV60" s="43"/>
      <c r="VW60" s="43"/>
      <c r="VX60" s="43"/>
      <c r="VY60" s="43"/>
      <c r="VZ60" s="43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3"/>
      <c r="WL60" s="43"/>
      <c r="WM60" s="43"/>
      <c r="WN60" s="43"/>
      <c r="WO60" s="43"/>
      <c r="WP60" s="43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3"/>
      <c r="XB60" s="43"/>
      <c r="XC60" s="43"/>
      <c r="XD60" s="43"/>
      <c r="XE60" s="43"/>
      <c r="XF60" s="43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3"/>
      <c r="XR60" s="43"/>
      <c r="XS60" s="43"/>
      <c r="XT60" s="43"/>
      <c r="XU60" s="43"/>
      <c r="XV60" s="43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3"/>
      <c r="YH60" s="43"/>
      <c r="YI60" s="43"/>
      <c r="YJ60" s="43"/>
      <c r="YK60" s="43"/>
      <c r="YL60" s="43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3"/>
      <c r="YX60" s="43"/>
      <c r="YY60" s="43"/>
      <c r="YZ60" s="43"/>
      <c r="ZA60" s="43"/>
      <c r="ZB60" s="43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3"/>
      <c r="ZN60" s="43"/>
      <c r="ZO60" s="43"/>
      <c r="ZP60" s="43"/>
      <c r="ZQ60" s="43"/>
      <c r="ZR60" s="43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3"/>
      <c r="AAD60" s="43"/>
      <c r="AAE60" s="43"/>
      <c r="AAF60" s="43"/>
      <c r="AAG60" s="43"/>
      <c r="AAH60" s="43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3"/>
      <c r="AAT60" s="43"/>
      <c r="AAU60" s="43"/>
      <c r="AAV60" s="43"/>
      <c r="AAW60" s="43"/>
      <c r="AAX60" s="43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3"/>
      <c r="ABJ60" s="43"/>
      <c r="ABK60" s="43"/>
      <c r="ABL60" s="43"/>
      <c r="ABM60" s="43"/>
      <c r="ABN60" s="43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3"/>
      <c r="ABZ60" s="43"/>
      <c r="ACA60" s="43"/>
      <c r="ACB60" s="43"/>
      <c r="ACC60" s="43"/>
      <c r="ACD60" s="43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3"/>
      <c r="ACP60" s="43"/>
      <c r="ACQ60" s="43"/>
      <c r="ACR60" s="43"/>
      <c r="ACS60" s="43"/>
      <c r="ACT60" s="43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3"/>
      <c r="ADF60" s="43"/>
      <c r="ADG60" s="43"/>
      <c r="ADH60" s="43"/>
      <c r="ADI60" s="43"/>
      <c r="ADJ60" s="43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3"/>
      <c r="ADV60" s="43"/>
      <c r="ADW60" s="43"/>
      <c r="ADX60" s="43"/>
      <c r="ADY60" s="43"/>
      <c r="ADZ60" s="43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3"/>
      <c r="AEL60" s="43"/>
      <c r="AEM60" s="43"/>
      <c r="AEN60" s="43"/>
      <c r="AEO60" s="43"/>
      <c r="AEP60" s="43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3"/>
      <c r="AFB60" s="43"/>
      <c r="AFC60" s="43"/>
      <c r="AFD60" s="43"/>
      <c r="AFE60" s="43"/>
      <c r="AFF60" s="43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3"/>
      <c r="AFR60" s="43"/>
      <c r="AFS60" s="43"/>
      <c r="AFT60" s="43"/>
      <c r="AFU60" s="43"/>
      <c r="AFV60" s="43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3"/>
      <c r="AGH60" s="43"/>
      <c r="AGI60" s="43"/>
      <c r="AGJ60" s="43"/>
      <c r="AGK60" s="43"/>
      <c r="AGL60" s="43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3"/>
      <c r="AGX60" s="43"/>
      <c r="AGY60" s="43"/>
      <c r="AGZ60" s="43"/>
      <c r="AHA60" s="43"/>
      <c r="AHB60" s="43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3"/>
      <c r="AHN60" s="43"/>
      <c r="AHO60" s="43"/>
      <c r="AHP60" s="43"/>
      <c r="AHQ60" s="43"/>
      <c r="AHR60" s="43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3"/>
      <c r="AID60" s="43"/>
      <c r="AIE60" s="43"/>
      <c r="AIF60" s="43"/>
      <c r="AIG60" s="43"/>
      <c r="AIH60" s="43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3"/>
      <c r="AIT60" s="43"/>
      <c r="AIU60" s="43"/>
      <c r="AIV60" s="43"/>
      <c r="AIW60" s="43"/>
      <c r="AIX60" s="43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3"/>
      <c r="AJJ60" s="43"/>
      <c r="AJK60" s="43"/>
      <c r="AJL60" s="43"/>
      <c r="AJM60" s="43"/>
      <c r="AJN60" s="43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3"/>
      <c r="AJZ60" s="43"/>
      <c r="AKA60" s="43"/>
      <c r="AKB60" s="43"/>
      <c r="AKC60" s="43"/>
      <c r="AKD60" s="43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3"/>
      <c r="AKP60" s="43"/>
      <c r="AKQ60" s="43"/>
      <c r="AKR60" s="43"/>
      <c r="AKS60" s="43"/>
      <c r="AKT60" s="43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3"/>
      <c r="ALF60" s="43"/>
      <c r="ALG60" s="43"/>
      <c r="ALH60" s="43"/>
      <c r="ALI60" s="43"/>
      <c r="ALJ60" s="43"/>
      <c r="ALK60" s="43"/>
      <c r="ALL60" s="43"/>
      <c r="ALM60" s="43"/>
      <c r="ALN60" s="43"/>
      <c r="ALO60" s="43"/>
      <c r="ALP60" s="43"/>
      <c r="ALQ60" s="43"/>
      <c r="ALR60" s="43"/>
      <c r="ALS60" s="43"/>
      <c r="ALT60" s="43"/>
      <c r="ALU60" s="43"/>
      <c r="ALV60" s="43"/>
      <c r="ALW60" s="43"/>
      <c r="ALX60" s="43"/>
      <c r="ALY60" s="43"/>
      <c r="ALZ60" s="43"/>
      <c r="AMA60" s="43"/>
      <c r="AMB60" s="43"/>
      <c r="AMC60" s="43"/>
      <c r="AMD60" s="43"/>
      <c r="AME60" s="43"/>
      <c r="AMF60" s="43"/>
      <c r="AMG60" s="43"/>
      <c r="AMH60" s="43"/>
      <c r="AMI60" s="43"/>
      <c r="AMJ60" s="43"/>
      <c r="AMK60" s="43"/>
    </row>
    <row r="61" spans="1:1025" s="44" customFormat="1" ht="12.95" customHeight="1" x14ac:dyDescent="0.25">
      <c r="A61" s="53"/>
      <c r="B61" s="54" t="s">
        <v>252</v>
      </c>
      <c r="C61" s="45">
        <v>7</v>
      </c>
      <c r="D61" s="46">
        <f>1.25+2+0.42+0.35</f>
        <v>4.0199999999999996</v>
      </c>
      <c r="E61" s="46">
        <f>1.2+0.45+0.25</f>
        <v>1.9</v>
      </c>
      <c r="F61" s="46">
        <f>2+0.22+1</f>
        <v>3.22</v>
      </c>
      <c r="G61" s="46">
        <f>1.5+0.41+1.5</f>
        <v>3.41</v>
      </c>
      <c r="H61" s="46">
        <f>1.25+0.25+1.8</f>
        <v>3.3</v>
      </c>
      <c r="I61" s="46">
        <f>0.42+3.51+2+1+0.72</f>
        <v>7.6499999999999995</v>
      </c>
      <c r="J61" s="46">
        <f>2+0.25+1</f>
        <v>3.25</v>
      </c>
      <c r="K61" s="46">
        <v>2</v>
      </c>
      <c r="L61" s="46">
        <f>0.25+2+0.5+0.28</f>
        <v>3.0300000000000002</v>
      </c>
      <c r="M61" s="46">
        <f>1.07+1.66</f>
        <v>2.73</v>
      </c>
      <c r="N61" s="60">
        <f>SUM(Таблица3[[#This Row],[Столбец4]:[Столбец13]])</f>
        <v>34.51</v>
      </c>
      <c r="O61" s="60">
        <f>IFERROR(AVERAGE(Таблица3[[#This Row],[Столбец4]:[Столбец13]]),0)</f>
        <v>3.4509999999999996</v>
      </c>
      <c r="P61" s="59">
        <f>O61-C61</f>
        <v>-3.5490000000000004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3"/>
      <c r="ALP61" s="43"/>
      <c r="ALQ61" s="43"/>
      <c r="ALR61" s="43"/>
      <c r="ALS61" s="43"/>
      <c r="ALT61" s="43"/>
      <c r="ALU61" s="43"/>
      <c r="ALV61" s="43"/>
      <c r="ALW61" s="43"/>
      <c r="ALX61" s="43"/>
      <c r="ALY61" s="43"/>
      <c r="ALZ61" s="43"/>
      <c r="AMA61" s="43"/>
      <c r="AMB61" s="43"/>
      <c r="AMC61" s="43"/>
      <c r="AMD61" s="43"/>
      <c r="AME61" s="43"/>
      <c r="AMF61" s="43"/>
      <c r="AMG61" s="43"/>
      <c r="AMH61" s="43"/>
      <c r="AMI61" s="43"/>
      <c r="AMJ61" s="43"/>
      <c r="AMK61" s="43"/>
    </row>
    <row r="62" spans="1:1025" s="44" customFormat="1" ht="12.95" customHeight="1" x14ac:dyDescent="0.25">
      <c r="A62" s="55">
        <v>29</v>
      </c>
      <c r="B62" s="56" t="s">
        <v>252</v>
      </c>
      <c r="C62" s="47">
        <v>7</v>
      </c>
      <c r="D62" s="48">
        <f>0.5+3.06</f>
        <v>3.56</v>
      </c>
      <c r="E62" s="48">
        <f>0.25+2+0.6</f>
        <v>2.85</v>
      </c>
      <c r="F62" s="48">
        <v>2</v>
      </c>
      <c r="G62" s="48">
        <v>2</v>
      </c>
      <c r="H62" s="48">
        <f>25+2+0.4+0.9</f>
        <v>28.299999999999997</v>
      </c>
      <c r="I62" s="48">
        <f>2+0.57+0.35</f>
        <v>2.92</v>
      </c>
      <c r="J62" s="48">
        <v>0.9</v>
      </c>
      <c r="K62" s="48">
        <f>2+0.4+1.2</f>
        <v>3.5999999999999996</v>
      </c>
      <c r="L62" s="48">
        <f>0.25+0.22+0.35</f>
        <v>0.82</v>
      </c>
      <c r="M62" s="48">
        <f>2+0.77</f>
        <v>2.77</v>
      </c>
      <c r="N62" s="57">
        <f>SUM(Таблица3[[#This Row],[Столбец4]:[Столбец13]])</f>
        <v>49.72</v>
      </c>
      <c r="O62" s="57">
        <f>IFERROR(AVERAGE(Таблица3[[#This Row],[Столбец4]:[Столбец13]]),0)</f>
        <v>4.9719999999999995</v>
      </c>
      <c r="P62" s="61">
        <f>O62-C62</f>
        <v>-2.0280000000000005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3"/>
      <c r="ALP62" s="43"/>
      <c r="ALQ62" s="43"/>
      <c r="ALR62" s="43"/>
      <c r="ALS62" s="43"/>
      <c r="ALT62" s="43"/>
      <c r="ALU62" s="43"/>
      <c r="ALV62" s="43"/>
      <c r="ALW62" s="43"/>
      <c r="ALX62" s="43"/>
      <c r="ALY62" s="43"/>
      <c r="ALZ62" s="43"/>
      <c r="AMA62" s="43"/>
      <c r="AMB62" s="43"/>
      <c r="AMC62" s="43"/>
      <c r="AMD62" s="43"/>
      <c r="AME62" s="43"/>
      <c r="AMF62" s="43"/>
      <c r="AMG62" s="43"/>
      <c r="AMH62" s="43"/>
      <c r="AMI62" s="43"/>
      <c r="AMJ62" s="43"/>
      <c r="AMK62" s="43"/>
    </row>
  </sheetData>
  <mergeCells count="10">
    <mergeCell ref="A1:P1"/>
    <mergeCell ref="D2:M2"/>
    <mergeCell ref="D3:H3"/>
    <mergeCell ref="I3:M3"/>
    <mergeCell ref="B2:B4"/>
    <mergeCell ref="A2:A4"/>
    <mergeCell ref="N2:N4"/>
    <mergeCell ref="O2:O4"/>
    <mergeCell ref="P2:P4"/>
    <mergeCell ref="C2:C3"/>
  </mergeCells>
  <pageMargins left="0.19685039370078741" right="0.19685039370078741" top="0.19685039370078741" bottom="0.19685039370078741" header="0" footer="0"/>
  <pageSetup paperSize="9" scale="71" firstPageNumber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Ст.школьники</vt:lpstr>
      <vt:lpstr>Вед 11-18</vt:lpstr>
      <vt:lpstr>'Вед 11-18'!Область_печати</vt:lpstr>
      <vt:lpstr>Ст.школьники!Область_печати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Лютикова</dc:creator>
  <cp:lastModifiedBy>Пользователь Windows</cp:lastModifiedBy>
  <cp:lastPrinted>2020-08-26T02:59:11Z</cp:lastPrinted>
  <dcterms:created xsi:type="dcterms:W3CDTF">2020-07-25T05:47:13Z</dcterms:created>
  <dcterms:modified xsi:type="dcterms:W3CDTF">2020-08-26T03:02:55Z</dcterms:modified>
</cp:coreProperties>
</file>